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hidePivotFieldList="1"/>
  <mc:AlternateContent xmlns:mc="http://schemas.openxmlformats.org/markup-compatibility/2006">
    <mc:Choice Requires="x15">
      <x15ac:absPath xmlns:x15ac="http://schemas.microsoft.com/office/spreadsheetml/2010/11/ac" url="L:\International\US Loans\Master documents\"/>
    </mc:Choice>
  </mc:AlternateContent>
  <xr:revisionPtr revIDLastSave="0" documentId="13_ncr:1_{63E20477-2CA3-42AB-871C-04463389CD1B}" xr6:coauthVersionLast="47" xr6:coauthVersionMax="47" xr10:uidLastSave="{00000000-0000-0000-0000-000000000000}"/>
  <bookViews>
    <workbookView xWindow="-108" yWindow="-108" windowWidth="23256" windowHeight="12576" firstSheet="1" activeTab="1" xr2:uid="{00000000-000D-0000-FFFF-FFFF00000000}"/>
  </bookViews>
  <sheets>
    <sheet name="Introduction" sheetId="11" state="hidden" r:id="rId1"/>
    <sheet name="Cost of Attendance" sheetId="1" r:id="rId2"/>
    <sheet name="School DATA" sheetId="14" state="hidden" r:id="rId3"/>
    <sheet name="Visa Letter" sheetId="10" r:id="rId4"/>
    <sheet name="Checklist" sheetId="4" state="hidden" r:id="rId5"/>
    <sheet name="Basis of Costs" sheetId="12" state="hidden" r:id="rId6"/>
    <sheet name="Private Loan Letter" sheetId="13" state="hidden" r:id="rId7"/>
    <sheet name="Compatibility Report" sheetId="15" state="hidden" r:id="rId8"/>
  </sheets>
  <definedNames>
    <definedName name="_xlnm._FilterDatabase" localSheetId="1" hidden="1">'Cost of Attendance'!$J$9:$J$10</definedName>
    <definedName name="_xlnm._FilterDatabase" localSheetId="2" hidden="1">'School DATA'!#REF!</definedName>
    <definedName name="_xlnm.Print_Area" localSheetId="1">'Cost of Attendance'!$A$1:$F$94</definedName>
    <definedName name="_xlnm.Print_Area" localSheetId="3">'Visa Letter'!$A$1:$I$63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4" l="1"/>
  <c r="D9" i="1" s="1"/>
  <c r="M43" i="1"/>
  <c r="M44" i="1"/>
  <c r="M45" i="1"/>
  <c r="I49" i="1"/>
  <c r="I50" i="1"/>
  <c r="I51" i="1"/>
  <c r="I52" i="1"/>
  <c r="L51" i="1"/>
  <c r="M51" i="1"/>
  <c r="G24" i="1"/>
  <c r="G25" i="1"/>
  <c r="G26" i="1"/>
  <c r="L52" i="1"/>
  <c r="M52" i="1"/>
  <c r="N52" i="1" s="1"/>
  <c r="O52" i="1" s="1"/>
  <c r="B82" i="1" s="1"/>
  <c r="B91" i="1" s="1"/>
  <c r="H24" i="1"/>
  <c r="I24" i="1"/>
  <c r="H25" i="1"/>
  <c r="I25" i="1"/>
  <c r="H26" i="1"/>
  <c r="I26" i="1"/>
  <c r="I81" i="1"/>
  <c r="J81" i="1"/>
  <c r="L53" i="1"/>
  <c r="M53" i="1"/>
  <c r="A1" i="13"/>
  <c r="A2" i="13"/>
  <c r="A3" i="13"/>
  <c r="A4" i="13"/>
  <c r="A5" i="13"/>
  <c r="A6" i="13"/>
  <c r="C4" i="1"/>
  <c r="A12" i="13" s="1"/>
  <c r="B17" i="13"/>
  <c r="B18" i="13"/>
  <c r="B19" i="13"/>
  <c r="J13" i="1"/>
  <c r="B27" i="13" s="1"/>
  <c r="J14" i="1"/>
  <c r="B30" i="10" s="1"/>
  <c r="B28" i="13"/>
  <c r="B40" i="1"/>
  <c r="B41" i="1"/>
  <c r="B42" i="1"/>
  <c r="B43" i="1"/>
  <c r="B44" i="1"/>
  <c r="B45" i="1"/>
  <c r="J7" i="14"/>
  <c r="M13" i="1"/>
  <c r="A34" i="13" s="1"/>
  <c r="A44" i="13"/>
  <c r="A45" i="13"/>
  <c r="A46" i="13"/>
  <c r="A47" i="13"/>
  <c r="B52" i="13"/>
  <c r="C56" i="14"/>
  <c r="C57" i="14" s="1"/>
  <c r="E7" i="14"/>
  <c r="D56" i="14" s="1"/>
  <c r="D57" i="14"/>
  <c r="C7" i="4"/>
  <c r="C8" i="4"/>
  <c r="C9" i="4"/>
  <c r="C10" i="4"/>
  <c r="C11" i="4"/>
  <c r="C12" i="4"/>
  <c r="A17" i="4"/>
  <c r="A18" i="4"/>
  <c r="C18" i="4"/>
  <c r="C21" i="4"/>
  <c r="A23" i="4"/>
  <c r="C23" i="4"/>
  <c r="A24" i="4"/>
  <c r="C24" i="4"/>
  <c r="C27" i="4"/>
  <c r="C28" i="4"/>
  <c r="A1" i="10"/>
  <c r="A2" i="10"/>
  <c r="A3" i="10"/>
  <c r="A4" i="10"/>
  <c r="A5" i="10"/>
  <c r="A6" i="10"/>
  <c r="A12" i="10"/>
  <c r="B17" i="10"/>
  <c r="B18" i="10"/>
  <c r="B19" i="10"/>
  <c r="M14" i="1"/>
  <c r="A42" i="10" s="1"/>
  <c r="M15" i="1"/>
  <c r="A43" i="10" s="1"/>
  <c r="M16" i="1"/>
  <c r="N16" i="1" s="1"/>
  <c r="B44" i="10" s="1"/>
  <c r="J15" i="1"/>
  <c r="A52" i="10"/>
  <c r="A53" i="10"/>
  <c r="A54" i="10"/>
  <c r="A55" i="10"/>
  <c r="B60" i="10"/>
  <c r="I11" i="14"/>
  <c r="M41" i="1" s="1"/>
  <c r="I13" i="14"/>
  <c r="M42" i="1" s="1"/>
  <c r="I16" i="14"/>
  <c r="E18" i="14"/>
  <c r="E22" i="14" s="1"/>
  <c r="E19" i="14"/>
  <c r="I19" i="14"/>
  <c r="M46" i="1" s="1"/>
  <c r="E20" i="14"/>
  <c r="E21" i="14"/>
  <c r="I22" i="14"/>
  <c r="M47" i="1" s="1"/>
  <c r="E23" i="14"/>
  <c r="I25" i="14"/>
  <c r="D41" i="14"/>
  <c r="I42" i="14"/>
  <c r="J42" i="14"/>
  <c r="D10" i="1"/>
  <c r="J41" i="1" s="1"/>
  <c r="J42" i="1" s="1"/>
  <c r="J43" i="1" s="1"/>
  <c r="J44" i="1" s="1"/>
  <c r="J45" i="1" s="1"/>
  <c r="G23" i="1"/>
  <c r="G28" i="1" s="1"/>
  <c r="K61" i="1" s="1"/>
  <c r="H23" i="1"/>
  <c r="I23" i="1"/>
  <c r="G27" i="1"/>
  <c r="H27" i="1"/>
  <c r="I27" i="1"/>
  <c r="K27" i="1"/>
  <c r="L27" i="1"/>
  <c r="M27" i="1"/>
  <c r="B30" i="1"/>
  <c r="C30" i="1"/>
  <c r="B31" i="1"/>
  <c r="E31" i="1"/>
  <c r="E32" i="1"/>
  <c r="I32" i="1"/>
  <c r="B33" i="1"/>
  <c r="C33" i="1"/>
  <c r="E33" i="1"/>
  <c r="I33" i="1"/>
  <c r="A34" i="1"/>
  <c r="E34" i="1"/>
  <c r="I34" i="1"/>
  <c r="A35" i="1"/>
  <c r="C35" i="1"/>
  <c r="I35" i="1"/>
  <c r="C36" i="1"/>
  <c r="I36" i="1"/>
  <c r="C46" i="1"/>
  <c r="D46" i="1"/>
  <c r="C47" i="1"/>
  <c r="C48" i="1"/>
  <c r="C49" i="1"/>
  <c r="C50" i="1"/>
  <c r="C51" i="1"/>
  <c r="C52" i="1"/>
  <c r="C53" i="1"/>
  <c r="C54" i="1"/>
  <c r="C55" i="1"/>
  <c r="C56" i="1"/>
  <c r="C57" i="1"/>
  <c r="C58" i="1"/>
  <c r="K59" i="1"/>
  <c r="D67" i="1"/>
  <c r="C68" i="1"/>
  <c r="J76" i="1"/>
  <c r="G79" i="1" s="1"/>
  <c r="C79" i="1"/>
  <c r="N53" i="1"/>
  <c r="O53" i="1" s="1"/>
  <c r="B84" i="1" s="1"/>
  <c r="B92" i="1" s="1"/>
  <c r="N51" i="1"/>
  <c r="O51" i="1" s="1"/>
  <c r="B81" i="1" s="1"/>
  <c r="B90" i="1" s="1"/>
  <c r="K41" i="1" l="1"/>
  <c r="K42" i="1" s="1"/>
  <c r="K43" i="1" s="1"/>
  <c r="K44" i="1" s="1"/>
  <c r="K45" i="1" s="1"/>
  <c r="E57" i="14"/>
  <c r="E56" i="14"/>
  <c r="I28" i="1"/>
  <c r="I54" i="1"/>
  <c r="E67" i="1" s="1"/>
  <c r="A45" i="1"/>
  <c r="C70" i="1" s="1"/>
  <c r="C81" i="1" s="1"/>
  <c r="C90" i="1" s="1"/>
  <c r="H44" i="14"/>
  <c r="D7" i="1" s="1"/>
  <c r="G49" i="1" s="1"/>
  <c r="G50" i="1" s="1"/>
  <c r="G51" i="1" s="1"/>
  <c r="G52" i="1" s="1"/>
  <c r="G53" i="1" s="1"/>
  <c r="G54" i="1" s="1"/>
  <c r="A44" i="10"/>
  <c r="H70" i="1"/>
  <c r="C88" i="1"/>
  <c r="C84" i="1"/>
  <c r="C92" i="1" s="1"/>
  <c r="C91" i="1"/>
  <c r="J16" i="14"/>
  <c r="L13" i="1"/>
  <c r="A41" i="10"/>
  <c r="H81" i="1"/>
  <c r="G81" i="1" s="1"/>
  <c r="G41" i="1"/>
  <c r="G42" i="1"/>
  <c r="J16" i="1"/>
  <c r="E25" i="14"/>
  <c r="B29" i="10"/>
  <c r="E24" i="14"/>
  <c r="D57" i="1" l="1"/>
  <c r="G32" i="1"/>
  <c r="G33" i="1" s="1"/>
  <c r="E45" i="1"/>
  <c r="C73" i="1"/>
  <c r="C71" i="1"/>
  <c r="H46" i="14"/>
  <c r="H47" i="14" s="1"/>
  <c r="C75" i="1"/>
  <c r="G91" i="1"/>
  <c r="A83" i="1" s="1"/>
  <c r="D74" i="1"/>
  <c r="C74" i="1"/>
  <c r="C83" i="1"/>
  <c r="G43" i="1"/>
  <c r="L41" i="1" l="1"/>
  <c r="L42" i="1" s="1"/>
  <c r="H32" i="1"/>
  <c r="H60" i="1" s="1"/>
  <c r="D47" i="1" s="1"/>
  <c r="H91" i="1"/>
  <c r="E83" i="1" s="1"/>
  <c r="H48" i="14"/>
  <c r="H49" i="14" s="1"/>
  <c r="H50" i="14" s="1"/>
  <c r="H6" i="1" s="1"/>
  <c r="H33" i="1"/>
  <c r="G34" i="1"/>
  <c r="I41" i="1"/>
  <c r="D83" i="1"/>
  <c r="G44" i="1"/>
  <c r="H41" i="1" l="1"/>
  <c r="H61" i="1" s="1"/>
  <c r="D48" i="1" s="1"/>
  <c r="H5" i="1"/>
  <c r="L43" i="1"/>
  <c r="I42" i="1"/>
  <c r="H42" i="1"/>
  <c r="H62" i="1" s="1"/>
  <c r="D49" i="1" s="1"/>
  <c r="G36" i="1"/>
  <c r="H36" i="1" s="1"/>
  <c r="G35" i="1"/>
  <c r="H35" i="1" s="1"/>
  <c r="H34" i="1"/>
  <c r="G45" i="1"/>
  <c r="I37" i="1" l="1"/>
  <c r="H68" i="1" s="1"/>
  <c r="D55" i="1" s="1"/>
  <c r="L44" i="1"/>
  <c r="I43" i="1"/>
  <c r="H43" i="1"/>
  <c r="H63" i="1" s="1"/>
  <c r="D50" i="1" s="1"/>
  <c r="I44" i="1" l="1"/>
  <c r="L45" i="1"/>
  <c r="H44" i="1"/>
  <c r="H64" i="1" s="1"/>
  <c r="D51" i="1" s="1"/>
  <c r="L46" i="1" l="1"/>
  <c r="I45" i="1"/>
  <c r="H45" i="1"/>
  <c r="H65" i="1" s="1"/>
  <c r="D52" i="1" s="1"/>
  <c r="L47" i="1" l="1"/>
  <c r="K47" i="1" s="1"/>
  <c r="K46" i="1"/>
  <c r="H66" i="1" l="1"/>
  <c r="D53" i="1" s="1"/>
  <c r="H67" i="1" l="1"/>
  <c r="H69" i="1" s="1"/>
  <c r="D54" i="1" l="1"/>
  <c r="C78" i="1"/>
  <c r="C77" i="1"/>
  <c r="D56" i="1"/>
  <c r="G78" i="1"/>
  <c r="C72" i="1" s="1"/>
  <c r="H71" i="1"/>
  <c r="K58" i="1" l="1"/>
  <c r="K60" i="1" s="1"/>
  <c r="D58" i="1"/>
  <c r="K62" i="1" l="1"/>
  <c r="G89" i="1" l="1"/>
  <c r="H76" i="1"/>
  <c r="L65" i="1"/>
  <c r="N60" i="1"/>
  <c r="D70" i="1" l="1"/>
  <c r="E70" i="1"/>
  <c r="M62" i="1"/>
  <c r="L64" i="1" s="1"/>
  <c r="L66" i="1" s="1"/>
  <c r="H89" i="1"/>
  <c r="A81" i="1"/>
  <c r="D81" i="1" s="1"/>
  <c r="G90" i="1" l="1"/>
  <c r="H77" i="1"/>
  <c r="N64" i="1"/>
  <c r="K71" i="1"/>
  <c r="B35" i="10"/>
  <c r="E81" i="1"/>
  <c r="F84" i="1"/>
  <c r="M66" i="1" l="1"/>
  <c r="K69" i="1" s="1"/>
  <c r="E71" i="1"/>
  <c r="D71" i="1"/>
  <c r="A82" i="1"/>
  <c r="D82" i="1" s="1"/>
  <c r="H90" i="1"/>
  <c r="B36" i="10" l="1"/>
  <c r="F85" i="1"/>
  <c r="E82" i="1"/>
  <c r="H79" i="1"/>
  <c r="K73" i="1"/>
  <c r="G92" i="1" s="1"/>
  <c r="H92" i="1" l="1"/>
  <c r="H93" i="1" s="1"/>
  <c r="A84" i="1"/>
  <c r="D84" i="1" s="1"/>
  <c r="G93" i="1"/>
  <c r="A85" i="1" s="1"/>
  <c r="D73" i="1"/>
  <c r="H82" i="1"/>
  <c r="D75" i="1" s="1"/>
  <c r="E84" i="1" l="1"/>
  <c r="E85" i="1" s="1"/>
  <c r="B37" i="10"/>
  <c r="F86" i="1"/>
  <c r="D85" i="1"/>
  <c r="N13" i="1" l="1"/>
  <c r="N14" i="1"/>
  <c r="B42" i="10" s="1"/>
  <c r="B38" i="10"/>
  <c r="F87" i="1"/>
  <c r="C86" i="1"/>
  <c r="N15" i="1"/>
  <c r="B43" i="10" s="1"/>
  <c r="C87" i="1"/>
  <c r="E88" i="1"/>
  <c r="B31" i="13"/>
  <c r="B34" i="13" s="1"/>
  <c r="B38" i="13" s="1"/>
  <c r="N17" i="1" l="1"/>
  <c r="B41" i="10"/>
  <c r="B45" i="10" s="1"/>
  <c r="B46" i="10" s="1"/>
</calcChain>
</file>

<file path=xl/sharedStrings.xml><?xml version="1.0" encoding="utf-8"?>
<sst xmlns="http://schemas.openxmlformats.org/spreadsheetml/2006/main" count="548" uniqueCount="465">
  <si>
    <t>What is you EFC (top right of front page of SAR) Even zero must be entered</t>
  </si>
  <si>
    <t>Room - Rent</t>
  </si>
  <si>
    <t>Personal</t>
  </si>
  <si>
    <t>Books &amp; Copying</t>
  </si>
  <si>
    <t>Y</t>
  </si>
  <si>
    <t>N</t>
  </si>
  <si>
    <t>Application/Student Number</t>
  </si>
  <si>
    <t>Board - Food and Power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</si>
  <si>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</si>
  <si>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</si>
  <si>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</si>
  <si>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</si>
  <si>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</si>
  <si>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</si>
  <si>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</si>
  <si>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</si>
  <si>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</si>
  <si>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</si>
  <si>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</si>
  <si>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</si>
  <si>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</si>
  <si>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</si>
  <si>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</si>
  <si>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</si>
  <si>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</si>
  <si>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</si>
  <si>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</si>
  <si>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</si>
  <si>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</si>
  <si>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</si>
  <si>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</si>
  <si>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</si>
  <si>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</si>
  <si>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</si>
  <si>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</si>
  <si>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</si>
  <si>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</si>
  <si>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</si>
  <si>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</si>
  <si>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</si>
  <si>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</si>
  <si>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</si>
  <si>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</si>
  <si>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</si>
  <si>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</si>
  <si>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</si>
  <si>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</si>
  <si>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</si>
  <si>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</si>
  <si>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</si>
  <si>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</si>
  <si>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</si>
  <si>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</si>
  <si>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</si>
  <si>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</si>
  <si>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</si>
  <si>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</si>
  <si>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</si>
  <si>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</si>
  <si>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</si>
  <si>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</si>
  <si>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</si>
  <si>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</si>
  <si>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</si>
  <si>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</si>
  <si>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</si>
  <si>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</si>
  <si>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</si>
  <si>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</si>
  <si>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</si>
  <si>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</si>
  <si>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</si>
  <si>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</si>
  <si>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</si>
  <si>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</si>
  <si>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</si>
  <si>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 are allowed to borrow up to the values above</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</si>
  <si>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</si>
  <si>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</si>
  <si>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</si>
  <si>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</si>
  <si>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</si>
  <si>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</si>
  <si>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</si>
  <si>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</si>
  <si>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</si>
  <si>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</si>
  <si>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</si>
  <si>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</si>
  <si>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</si>
  <si>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</si>
  <si>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</si>
  <si>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</si>
  <si>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</si>
  <si>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</si>
  <si>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</si>
  <si>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</si>
  <si>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</si>
  <si>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</si>
  <si>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</si>
  <si>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</si>
  <si>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</si>
  <si>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</si>
  <si>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</si>
  <si>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</si>
  <si>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</si>
  <si>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</si>
  <si>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</si>
  <si>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</si>
  <si>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Undergraduate students and graduate/professional students may receive Direct Subsidized Loans and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</si>
  <si>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</si>
  <si>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</si>
  <si>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</si>
  <si>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</si>
  <si>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</si>
  <si>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</si>
  <si>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</si>
  <si>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</si>
  <si>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</si>
  <si>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</si>
  <si>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</si>
  <si>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</si>
  <si>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line 1</t>
  </si>
  <si>
    <t>line 2</t>
  </si>
  <si>
    <t>line 3</t>
  </si>
  <si>
    <t>line 4</t>
  </si>
  <si>
    <t>123 45 6789</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</si>
  <si>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</si>
  <si>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</si>
  <si>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</si>
  <si>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</si>
  <si>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</si>
  <si>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</si>
  <si>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</si>
  <si>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The default setting is "N"</t>
  </si>
  <si>
    <t>Date Issued</t>
  </si>
  <si>
    <t>If there are no school comments then we have sufficient information to start the origination process. If anything is missing or incorrect, then we cannot originate your loans.</t>
  </si>
  <si>
    <t>This spreadsheet is to help you and us</t>
  </si>
  <si>
    <r>
      <t>We participate in the William D. Ford Federal Direct Loan (Direct Loan) Program administered by the United States (U.S.) Department of Education</t>
    </r>
    <r>
      <rPr>
        <i/>
        <sz val="12"/>
        <rFont val="Times New Roman"/>
        <family val="1"/>
      </rPr>
      <t>.</t>
    </r>
    <r>
      <rPr>
        <sz val="12"/>
        <rFont val="Times New Roman"/>
        <family val="1"/>
      </rPr>
      <t xml:space="preserve"> </t>
    </r>
  </si>
  <si>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</si>
  <si>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</si>
  <si>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</si>
  <si>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</si>
  <si>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</si>
  <si>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</si>
  <si>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</si>
  <si>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</si>
  <si>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</si>
  <si>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</si>
  <si>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</si>
  <si>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</si>
  <si>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</si>
  <si>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</si>
  <si>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</si>
  <si>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</si>
  <si>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</si>
  <si>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</si>
  <si>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</si>
  <si>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</si>
  <si>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WARNING - THESE DATES ARE EXPECTED AND NOT ACTUAL. Allow for about 3 days delay - just in case.</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</si>
  <si>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</si>
  <si>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</si>
  <si>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</si>
  <si>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</si>
  <si>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</si>
  <si>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</si>
  <si>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</si>
  <si>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</si>
  <si>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</si>
  <si>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</si>
  <si>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</si>
  <si>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</si>
  <si>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</si>
  <si>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</si>
  <si>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</si>
  <si>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</si>
  <si>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</si>
  <si>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</si>
  <si>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PLUS NEED</t>
  </si>
  <si>
    <t>Need for PLUS</t>
  </si>
  <si>
    <t>PLUS Available</t>
  </si>
  <si>
    <t>Sub available</t>
  </si>
  <si>
    <t>ORIG FEE INC</t>
  </si>
  <si>
    <t>Sub Orig Fee</t>
  </si>
  <si>
    <t>Unsub Orig Fee</t>
  </si>
  <si>
    <t>PLUS Orig fee</t>
  </si>
  <si>
    <t>DISBURSEMENTS</t>
  </si>
  <si>
    <t>ORIG FEE NOT INC</t>
  </si>
  <si>
    <t>Government Fees</t>
  </si>
  <si>
    <t xml:space="preserve">Your government takes an origination fee. </t>
  </si>
  <si>
    <t>If those repayments are not all on-time then the refund which was given to you will be charged back to you</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</si>
  <si>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</si>
  <si>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</si>
  <si>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</si>
  <si>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</si>
  <si>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postcode/zipcode</t>
  </si>
  <si>
    <t>email address</t>
  </si>
  <si>
    <t>RETAIL (Main Street) RATE - NOT INTERBANK RATE</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</si>
  <si>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</si>
  <si>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</si>
  <si>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</si>
  <si>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</si>
  <si>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</si>
  <si>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</si>
  <si>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</si>
  <si>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</si>
  <si>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</si>
  <si>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</si>
  <si>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</si>
  <si>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</si>
  <si>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</si>
  <si>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</si>
  <si>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</si>
  <si>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</si>
  <si>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</si>
  <si>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</si>
  <si>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</si>
  <si>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</si>
  <si>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</si>
  <si>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</si>
  <si>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</si>
  <si>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</si>
  <si>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</si>
  <si>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</si>
  <si>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</si>
  <si>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</si>
  <si>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</si>
  <si>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</si>
  <si>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</si>
  <si>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</si>
  <si>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</si>
  <si>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</si>
  <si>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</si>
  <si>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</si>
  <si>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</si>
  <si>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</si>
  <si>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</si>
  <si>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</si>
  <si>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</si>
  <si>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</si>
  <si>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</si>
  <si>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</si>
  <si>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</si>
  <si>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</si>
  <si>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</si>
  <si>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</si>
  <si>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</si>
  <si>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</si>
  <si>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</si>
  <si>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</si>
  <si>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</si>
  <si>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</si>
  <si>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</si>
  <si>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</si>
  <si>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</si>
  <si>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</si>
  <si>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</si>
  <si>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</si>
  <si>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r>
      <t xml:space="preserve">What is the date of your last Bachelors' graduation ceremony </t>
    </r>
    <r>
      <rPr>
        <b/>
        <u/>
        <sz val="10"/>
        <color indexed="10"/>
        <rFont val="Times New Roman"/>
        <family val="1"/>
      </rPr>
      <t>in the summer</t>
    </r>
    <r>
      <rPr>
        <sz val="10"/>
        <color indexed="10"/>
        <rFont val="Times New Roman"/>
        <family val="1"/>
      </rPr>
      <t xml:space="preserve"> </t>
    </r>
  </si>
  <si>
    <t>AND/OR</t>
  </si>
  <si>
    <t>official end of summer term - ONLY if earlier</t>
  </si>
  <si>
    <t>You must also complete the Checklist</t>
  </si>
  <si>
    <r>
      <t xml:space="preserve">The checklist helps you ensure that everything needed has been completed for us to process your application; </t>
    </r>
    <r>
      <rPr>
        <b/>
        <u/>
        <sz val="10"/>
        <color indexed="10"/>
        <rFont val="Times New Roman"/>
        <family val="1"/>
      </rPr>
      <t>without it nothing can be processed</t>
    </r>
  </si>
  <si>
    <t>The checklist will tell you the consequence of anything missing</t>
  </si>
  <si>
    <t>If anything is missing or incomplete, your application will be rejected.</t>
  </si>
  <si>
    <r>
      <t xml:space="preserve">When we will receive this spreadsheet - </t>
    </r>
    <r>
      <rPr>
        <b/>
        <u/>
        <sz val="10"/>
        <color indexed="10"/>
        <rFont val="Times New Roman"/>
        <family val="1"/>
      </rPr>
      <t>and ALL the required attachments</t>
    </r>
    <r>
      <rPr>
        <b/>
        <sz val="10"/>
        <color indexed="12"/>
        <rFont val="Times New Roman"/>
        <family val="1"/>
      </rPr>
      <t xml:space="preserve"> - that is our trigger that you have done everything for us to start on your loan</t>
    </r>
  </si>
  <si>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</si>
  <si>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</si>
  <si>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</si>
  <si>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</si>
  <si>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</si>
  <si>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</si>
  <si>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</si>
  <si>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</si>
  <si>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</si>
  <si>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which come from the US Dept of Education and are administered through this school.</t>
  </si>
  <si>
    <t xml:space="preserve"> the student (or, in some cases, the student’s parent) will receive the following Direct Loan awards</t>
  </si>
  <si>
    <t>When - long after the first disbursement - will you review the exchange rate</t>
  </si>
  <si>
    <t>What is your normal family shopping for a week and adjust for one adult</t>
  </si>
  <si>
    <t>Postgrad weeks</t>
  </si>
  <si>
    <t>Year 1</t>
  </si>
  <si>
    <t>Year 2</t>
  </si>
  <si>
    <t>Year 3</t>
  </si>
  <si>
    <t>Year 4</t>
  </si>
  <si>
    <t>Dependent Unsubsidised</t>
  </si>
  <si>
    <t>Independent Unsubsidised</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</si>
  <si>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</si>
  <si>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</si>
  <si>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</si>
  <si>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</si>
  <si>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</si>
  <si>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</si>
  <si>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COMPLETE THE YELLOW BOXES ONLY</t>
  </si>
  <si>
    <t>Private Loan</t>
  </si>
  <si>
    <t>Government Loan</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</si>
  <si>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</si>
  <si>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</si>
  <si>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</si>
  <si>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</si>
  <si>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</si>
  <si>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</si>
  <si>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</si>
  <si>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</si>
  <si>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</si>
  <si>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</si>
  <si>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The Office Manager's 'pocket money' for a week</t>
  </si>
  <si>
    <t>Date of Birth</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</si>
  <si>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</si>
  <si>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</si>
  <si>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</si>
  <si>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What is your estimate for enough pocket money including beer/disco/movie/pizza per week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</si>
  <si>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</si>
  <si>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</si>
  <si>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</si>
  <si>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</si>
  <si>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</si>
  <si>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</si>
  <si>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</si>
  <si>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</si>
  <si>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</si>
  <si>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</si>
  <si>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</si>
  <si>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</si>
  <si>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</si>
  <si>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</si>
  <si>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</si>
  <si>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</si>
  <si>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</si>
  <si>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</si>
  <si>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</si>
  <si>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</si>
  <si>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</si>
  <si>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</si>
  <si>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</si>
  <si>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Full name of your course</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</si>
  <si>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</si>
  <si>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</si>
  <si>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</si>
  <si>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</si>
  <si>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</si>
  <si>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</si>
  <si>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</si>
  <si>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</si>
  <si>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</si>
  <si>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</si>
  <si>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There was a partial refund of the origination fee which has been withdrawn since 2012 entry</t>
  </si>
  <si>
    <t>Undergraduates - The loan year will be start of academic year to end of final term</t>
  </si>
  <si>
    <t>The transfer of funds from ED Dept to our UK bank and a refund for your living money takes a good 10 days.</t>
  </si>
  <si>
    <t>Rounding Difference</t>
  </si>
  <si>
    <t>If you are a starting later in the year, use the tab "late start Cost of Attendance"</t>
  </si>
  <si>
    <t>Undergraduate treated as Graduate PLUS Loan</t>
  </si>
  <si>
    <t>sub entitled, conditions are per cell</t>
  </si>
  <si>
    <t>inc BA, UG/PG, porev degree,yr</t>
  </si>
  <si>
    <t>but not dependency</t>
  </si>
  <si>
    <t>tot below is max</t>
  </si>
  <si>
    <t>MAX THIS STU</t>
  </si>
  <si>
    <t>midweek return flight for visa interview Los Angeles to New York</t>
  </si>
  <si>
    <t>2 midweek return flights with BA from Los Angeles to London</t>
  </si>
  <si>
    <t>Keep all shopping receipts for a month, This covers all the bills for a month for a normal household including alcohol, all household cleaning materials and all food etc. Divide the weekly average by 1 less than are in the household. This is more than enough to cover the food, provisions and power for a single person.</t>
  </si>
  <si>
    <t>cost of zone 1-2 London weekly travel card</t>
  </si>
  <si>
    <t>Cost of two BA return flights Heathrow/LA  travelling midweek</t>
  </si>
  <si>
    <t>Cost of a good quality laptop from a PC chainstore</t>
  </si>
  <si>
    <t>201700000</t>
  </si>
  <si>
    <t>Max Allowed Adjusted for Fees</t>
  </si>
  <si>
    <t>Your Request  -  you may only leave or reduce these values</t>
  </si>
  <si>
    <t>The exchange rate is deliberately high to allow for unforseen circumstances</t>
  </si>
  <si>
    <t>Worst case costs at selected or calculated exchange rate</t>
  </si>
  <si>
    <t>Calcs above/beside</t>
  </si>
  <si>
    <t>Is this course for a Bachelor degree such as BSc or BA? Only answer Y or N</t>
  </si>
  <si>
    <t>What will be your year of study - select from the dropbox only - WARNING: this must match your FAFSA &amp; SAR</t>
  </si>
  <si>
    <t>Does your course involve any time at another university or school, or campus? Only answer Y or N</t>
  </si>
  <si>
    <t>surname - family name</t>
  </si>
  <si>
    <t>forename - first name(s)</t>
  </si>
  <si>
    <t>Does your course - whole course, in any year - have any time in USA other than vacations? Only answer Y or N</t>
  </si>
  <si>
    <t>DON'T TOUCH THE BLUE BOXES - They are calculations which feed other parts of this workbook</t>
  </si>
  <si>
    <t>Powerful laptop and printer [15.6" Lenovo Ryzen 7 2TB - PC World April 2019]</t>
  </si>
  <si>
    <t>Manchester</t>
  </si>
  <si>
    <t>These are 01 Oct 2019 - https://ifap.ed.gov/eannouncements/053019FY20SequesterRequiredChangesTitleIVPrograms.html</t>
  </si>
  <si>
    <t>Rate from 1st Oct 2019</t>
  </si>
  <si>
    <t>Are you seeking only Federal (any of subsidised, unsubsidised, Plus) Loans</t>
  </si>
  <si>
    <t>Are you seeking only Private Loans (Sallie Mae)</t>
  </si>
  <si>
    <t>Are you seeking a mix of Federal and Private loans (Sallie Mae)</t>
  </si>
  <si>
    <t>Your Loan Entitlement</t>
  </si>
  <si>
    <t>Your Cost of Attendance (Values rounded)</t>
  </si>
  <si>
    <t>Information which affects your Cost of Attendance</t>
  </si>
  <si>
    <t xml:space="preserve"> Details about you</t>
  </si>
  <si>
    <t xml:space="preserve"> U.S. Government Fees deducted from your disbursement</t>
  </si>
  <si>
    <t>Stu Type</t>
  </si>
  <si>
    <t>Add here any extra essential requirements which have not been included</t>
  </si>
  <si>
    <t>Child care for dependent children with the parent-student while parent  in class</t>
  </si>
  <si>
    <t>weekly</t>
  </si>
  <si>
    <t>deducts</t>
  </si>
  <si>
    <t>direct convert</t>
  </si>
  <si>
    <t>room</t>
  </si>
  <si>
    <t>board</t>
  </si>
  <si>
    <t>annual flights</t>
  </si>
  <si>
    <t>1st yr costs</t>
  </si>
  <si>
    <t>essential course equipment</t>
  </si>
  <si>
    <t>essential health</t>
  </si>
  <si>
    <t>essential childcare</t>
  </si>
  <si>
    <t>other essentials</t>
  </si>
  <si>
    <t>Essential flights + health (for 1st yr also visa and laptop)</t>
  </si>
  <si>
    <t>Ist Year</t>
  </si>
  <si>
    <t>School Notes</t>
  </si>
  <si>
    <t>Course essentials like required clothing (drama/catering courses) or equipment (some scientific/media courses)</t>
  </si>
  <si>
    <t>Health related costs such as insuline/physiotherapy - write it here and be specific</t>
  </si>
  <si>
    <t>Other health related costs - such as transposrt if mobility impaired, or scribing - write it here and be specific</t>
  </si>
  <si>
    <t>Request</t>
  </si>
  <si>
    <t>Requests</t>
  </si>
  <si>
    <t>Allow</t>
  </si>
  <si>
    <t>Use drop boxes below</t>
  </si>
  <si>
    <t>Approved Additional Items</t>
  </si>
  <si>
    <t>Final CoA including approved Additional Items</t>
  </si>
  <si>
    <t>Aggregate Loan Limits</t>
  </si>
  <si>
    <t>Limit</t>
  </si>
  <si>
    <t>Sub Limit</t>
  </si>
  <si>
    <t>UG Dependent - all assumed</t>
  </si>
  <si>
    <t>UG Independent</t>
  </si>
  <si>
    <t>Put SHORT notes in this box to justify your extra requests</t>
  </si>
  <si>
    <t>Pounds Sterling</t>
  </si>
  <si>
    <t>CONVERTING COSTS TO DOLLARS</t>
  </si>
  <si>
    <t>note no plus for Ind UGs</t>
  </si>
  <si>
    <t>plus if extras allowed</t>
  </si>
  <si>
    <t>Course essentials like required clothing</t>
  </si>
  <si>
    <t>Health related costs such as insuline/physiotherapy</t>
  </si>
  <si>
    <t>Other health related  -  transposrt if mobility impaired, or scribing</t>
  </si>
  <si>
    <t>Child care for dependent children</t>
  </si>
  <si>
    <t>Total extras approved</t>
  </si>
  <si>
    <t>UG course as PG</t>
  </si>
  <si>
    <t>There is no Subsidised Loan for postgraduates</t>
  </si>
  <si>
    <t>7   School Responses</t>
  </si>
  <si>
    <t>full sallie mae</t>
  </si>
  <si>
    <t>mixed sallie mae</t>
  </si>
  <si>
    <t>Essential flights + health for all years (plus visa and laptop if 1st year)</t>
  </si>
  <si>
    <r>
      <t xml:space="preserve">Total Extra Requests </t>
    </r>
    <r>
      <rPr>
        <b/>
        <sz val="10"/>
        <color indexed="12"/>
        <rFont val="Arial"/>
        <family val="2"/>
      </rPr>
      <t>and those allowed converted into dollars</t>
    </r>
  </si>
  <si>
    <t>private</t>
  </si>
  <si>
    <t>sub</t>
  </si>
  <si>
    <t>plus</t>
  </si>
  <si>
    <t>total</t>
  </si>
  <si>
    <t>zero if only private requested</t>
  </si>
  <si>
    <t>Unsub</t>
  </si>
  <si>
    <t>Compatibility Report for COA 2020.xls</t>
  </si>
  <si>
    <t>Run on 04/06/2020 17:48</t>
  </si>
  <si>
    <t>If the workbook is saved in an earlier file format or opened in an earlier version of Microsoft Excel, the listed features will not be available.</t>
  </si>
  <si>
    <t>Significant loss of functionality</t>
  </si>
  <si>
    <t># of occurrences</t>
  </si>
  <si>
    <t>Version</t>
  </si>
  <si>
    <t>Any effects on this object will be removed. Any text that overflows the boundaries of this graphic will appear truncated.</t>
  </si>
  <si>
    <t>Cost of Attendance'!A1:AF107</t>
  </si>
  <si>
    <t>Excel 97-2003</t>
  </si>
  <si>
    <t>Visa Letter'!A1:G66</t>
  </si>
  <si>
    <t>Private Loan Letter'!A1:G58</t>
  </si>
  <si>
    <t xml:space="preserve">Some cells in this workbook contain data validation rules, which refer to values on other worksheets. These rules won't be saved. </t>
  </si>
  <si>
    <t>Checklist'!B16:B18</t>
  </si>
  <si>
    <t>Checklist'!B7:B12</t>
  </si>
  <si>
    <t>Checklist'!B21:B24</t>
  </si>
  <si>
    <t>Checklist'!B27</t>
  </si>
  <si>
    <t>Minor loss of fidelity</t>
  </si>
  <si>
    <t>One or more objects in this workbook such as shapes, WordArt, or text boxes may allow text to overflow the object boundaries. Earlier versions of Excel do not recognize this option and will hide overflowing text.</t>
  </si>
  <si>
    <t>JR</t>
  </si>
  <si>
    <t>LJ</t>
  </si>
  <si>
    <t>AM</t>
  </si>
  <si>
    <t>if printed on school headed paper and signed</t>
  </si>
  <si>
    <t>2023/24</t>
  </si>
  <si>
    <t>Visa £363 and NHS Charge £470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</si>
</sst>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s>
  <fonts count="91" x14ac:knownFonts="1">
    <font>
      <sz val="10"/>
      <name val="Arial"/>
    </font>
    <font>
      <sz val="10"/>
      <name val="Arial"/>
    </font>
    <font>
      <b/>
      <sz val="10"/>
      <name val="Arial"/>
      <family val="2"/>
    </font>
    <font>
      <b/>
      <sz val="16"/>
      <name val="Arial"/>
      <family val="2"/>
    </font>
    <font>
      <b/>
      <sz val="10"/>
      <color indexed="10"/>
      <name val="Arial"/>
      <family val="2"/>
    </font>
    <font>
      <sz val="8"/>
      <name val="Arial"/>
    </font>
    <font>
      <sz val="10"/>
      <color indexed="12"/>
      <name val="Arial"/>
      <family val="2"/>
    </font>
    <font>
      <sz val="12"/>
      <name val="Arial"/>
    </font>
    <font>
      <b/>
      <sz val="12"/>
      <color indexed="9"/>
      <name val="Arial"/>
      <family val="2"/>
    </font>
    <font>
      <b/>
      <sz val="12"/>
      <name val="Arial"/>
      <family val="2"/>
    </font>
    <font>
      <sz val="10"/>
      <color indexed="12"/>
      <name val="Arial"/>
    </font>
    <font>
      <b/>
      <sz val="12"/>
      <color indexed="12"/>
      <name val="Arial"/>
      <family val="2"/>
    </font>
    <font>
      <sz val="10"/>
      <name val="Arial"/>
      <family val="2"/>
    </font>
    <font>
      <b/>
      <sz val="14"/>
      <name val="Arial"/>
      <family val="2"/>
    </font>
    <font>
      <b/>
      <sz val="14"/>
      <color indexed="10"/>
      <name val="Arial"/>
      <family val="2"/>
    </font>
    <font>
      <u/>
      <sz val="7.5"/>
      <color indexed="12"/>
      <name val="Arial"/>
    </font>
    <font>
      <b/>
      <sz val="12"/>
      <name val="Arial"/>
    </font>
    <font>
      <b/>
      <sz val="12"/>
      <color indexed="9"/>
      <name val="Arial"/>
    </font>
    <font>
      <b/>
      <sz val="12"/>
      <color indexed="10"/>
      <name val="Arial"/>
    </font>
    <font>
      <b/>
      <sz val="12"/>
      <color indexed="10"/>
      <name val="Arial"/>
      <family val="2"/>
    </font>
    <font>
      <sz val="12"/>
      <color indexed="12"/>
      <name val="Arial"/>
      <family val="2"/>
    </font>
    <font>
      <b/>
      <sz val="10"/>
      <color indexed="15"/>
      <name val="Arial"/>
      <family val="2"/>
    </font>
    <font>
      <b/>
      <sz val="18"/>
      <name val="Times New Roman"/>
      <family val="1"/>
    </font>
    <font>
      <sz val="10"/>
      <name val="Times New Roman"/>
      <family val="1"/>
    </font>
    <font>
      <sz val="14"/>
      <name val="Times New Roman"/>
      <family val="1"/>
    </font>
    <font>
      <b/>
      <sz val="12"/>
      <name val="Times New Roman"/>
      <family val="1"/>
    </font>
    <font>
      <sz val="14"/>
      <color indexed="10"/>
      <name val="Arial"/>
    </font>
    <font>
      <sz val="12"/>
      <name val="Times New Roman"/>
      <family val="1"/>
    </font>
    <font>
      <i/>
      <sz val="12"/>
      <name val="Times New Roman"/>
      <family val="1"/>
    </font>
    <font>
      <sz val="12"/>
      <color indexed="12"/>
      <name val="Arial"/>
    </font>
    <font>
      <b/>
      <sz val="14"/>
      <color indexed="12"/>
      <name val="Arial"/>
      <family val="2"/>
    </font>
    <font>
      <b/>
      <sz val="10"/>
      <color indexed="10"/>
      <name val="Times New Roman"/>
      <family val="1"/>
    </font>
    <font>
      <b/>
      <sz val="12"/>
      <color indexed="10"/>
      <name val="Times New Roman"/>
      <family val="1"/>
    </font>
    <font>
      <b/>
      <sz val="12"/>
      <color indexed="12"/>
      <name val="Times New Roman"/>
      <family val="1"/>
    </font>
    <font>
      <b/>
      <sz val="10"/>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sz val="12"/>
      <color indexed="10"/>
      <name val="Times New Roman"/>
      <family val="1"/>
    </font>
    <font>
      <b/>
      <u/>
      <sz val="10"/>
      <color indexed="10"/>
      <name val="Times New Roman"/>
      <family val="1"/>
    </font>
    <font>
      <b/>
      <sz val="14"/>
      <color indexed="12"/>
      <name val="Times New Roman"/>
      <family val="1"/>
    </font>
    <font>
      <b/>
      <sz val="10"/>
      <color indexed="48"/>
      <name val="Arial"/>
      <family val="2"/>
    </font>
    <font>
      <b/>
      <sz val="12"/>
      <color indexed="13"/>
      <name val="Arial"/>
      <family val="2"/>
    </font>
    <font>
      <u/>
      <sz val="12"/>
      <color indexed="12"/>
      <name val="Arial"/>
      <family val="2"/>
    </font>
    <font>
      <b/>
      <u/>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sz val="14"/>
      <color indexed="9"/>
      <name val="Arial"/>
      <family val="2"/>
    </font>
    <font>
      <b/>
      <sz val="16"/>
      <color indexed="10"/>
      <name val="Times New Roman"/>
      <family val="1"/>
    </font>
    <font>
      <b/>
      <sz val="14"/>
      <color indexed="13"/>
      <name val="Arial"/>
      <family val="2"/>
    </font>
    <font>
      <sz val="12"/>
      <color indexed="10"/>
      <name val="Arial"/>
    </font>
    <font>
      <sz val="10"/>
      <color indexed="22"/>
      <name val="Arial"/>
    </font>
    <font>
      <b/>
      <u/>
      <sz val="7.5"/>
      <color indexed="12"/>
      <name val="Arial"/>
      <family val="2"/>
    </font>
    <font>
      <sz val="10"/>
      <color indexed="10"/>
      <name val="Arial"/>
    </font>
    <font>
      <sz val="10"/>
      <color indexed="23"/>
      <name val="Arial"/>
    </font>
    <font>
      <b/>
      <sz val="10"/>
      <color indexed="9"/>
      <name val="Times New Roman"/>
      <family val="1"/>
    </font>
    <font>
      <sz val="12"/>
      <color indexed="22"/>
      <name val="Arial"/>
    </font>
    <font>
      <b/>
      <sz val="10"/>
      <color indexed="23"/>
      <name val="Arial"/>
      <family val="2"/>
    </font>
    <font>
      <b/>
      <sz val="16"/>
      <color indexed="12"/>
      <name val="Arial"/>
      <family val="2"/>
    </font>
    <font>
      <b/>
      <sz val="16"/>
      <color indexed="10"/>
      <name val="Arial"/>
      <family val="2"/>
    </font>
    <font>
      <b/>
      <i/>
      <sz val="16"/>
      <color indexed="10"/>
      <name val="Arial"/>
      <family val="2"/>
    </font>
    <font>
      <b/>
      <sz val="10"/>
      <color indexed="10"/>
      <name val="Arial"/>
      <family val="2"/>
    </font>
    <font>
      <b/>
      <i/>
      <sz val="8"/>
      <color indexed="10"/>
      <name val="Arial"/>
      <family val="2"/>
    </font>
    <font>
      <b/>
      <sz val="8"/>
      <color indexed="10"/>
      <name val="Arial"/>
      <family val="2"/>
    </font>
    <font>
      <b/>
      <u/>
      <sz val="10"/>
      <color indexed="10"/>
      <name val="Arial"/>
      <family val="2"/>
    </font>
    <font>
      <sz val="10"/>
      <color indexed="10"/>
      <name val="Arial"/>
      <family val="2"/>
    </font>
    <font>
      <b/>
      <sz val="12"/>
      <color indexed="10"/>
      <name val="Arial"/>
      <family val="2"/>
    </font>
    <font>
      <b/>
      <u/>
      <sz val="12"/>
      <color indexed="10"/>
      <name val="Arial"/>
      <family val="2"/>
    </font>
    <font>
      <sz val="12"/>
      <color indexed="10"/>
      <name val="Arial"/>
      <family val="2"/>
    </font>
    <font>
      <b/>
      <sz val="14"/>
      <color indexed="10"/>
      <name val="Arial"/>
      <family val="2"/>
    </font>
    <font>
      <b/>
      <sz val="12"/>
      <color indexed="51"/>
      <name val="Arial"/>
      <family val="2"/>
    </font>
    <font>
      <b/>
      <sz val="10"/>
      <name val="Arial"/>
    </font>
    <font>
      <sz val="10"/>
      <color indexed="13"/>
      <name val="Arial"/>
    </font>
    <font>
      <b/>
      <sz val="16"/>
      <color indexed="13"/>
      <name val="Arial"/>
    </font>
    <font>
      <sz val="12"/>
      <color indexed="13"/>
      <name val="Arial"/>
    </font>
    <font>
      <b/>
      <sz val="10"/>
      <color indexed="12"/>
      <name val="Arial"/>
      <family val="2"/>
    </font>
    <font>
      <sz val="10"/>
      <color indexed="20"/>
      <name val="Arial"/>
    </font>
    <font>
      <sz val="10"/>
      <color indexed="48"/>
      <name val="Times New Roman"/>
      <family val="1"/>
    </font>
    <font>
      <sz val="12"/>
      <color indexed="48"/>
      <name val="Arial"/>
      <family val="2"/>
    </font>
    <font>
      <b/>
      <sz val="10"/>
      <color indexed="12"/>
      <name val="Arial"/>
    </font>
    <font>
      <sz val="10"/>
      <color indexed="10"/>
      <name val="Arial"/>
      <family val="2"/>
    </font>
    <font>
      <b/>
      <sz val="10"/>
      <color indexed="10"/>
      <name val="Arial"/>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10"/>
        <bgColor indexed="64"/>
      </patternFill>
    </fill>
  </fills>
  <borders count="27">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415">
    <xf numFmtId="0" fontId="0" fillId="0" borderId="0" xfId="0"/>
    <xf numFmtId="0" fontId="7" fillId="0" borderId="0" xfId="0" applyFont="1"/>
    <xf numFmtId="1" fontId="3" fillId="0" borderId="0" xfId="1" applyNumberFormat="1" applyFont="1" applyAlignment="1" applyProtection="1">
      <alignment horizontal="center"/>
    </xf>
    <xf numFmtId="43" fontId="3" fillId="0" borderId="0" xfId="1" applyFont="1" applyAlignment="1" applyProtection="1">
      <alignment horizontal="right"/>
    </xf>
    <xf numFmtId="43" fontId="3" fillId="0" borderId="0" xfId="1" applyFont="1" applyAlignment="1" applyProtection="1">
      <alignment horizontal="center"/>
    </xf>
    <xf numFmtId="0" fontId="3" fillId="0" borderId="0" xfId="0" applyFont="1" applyAlignment="1">
      <alignment horizontal="center"/>
    </xf>
    <xf numFmtId="1" fontId="2" fillId="0" borderId="0" xfId="1" applyNumberFormat="1" applyFont="1" applyAlignment="1" applyProtection="1">
      <alignment horizontal="center"/>
    </xf>
    <xf numFmtId="43" fontId="4" fillId="0" borderId="0" xfId="1" applyFont="1" applyAlignment="1" applyProtection="1">
      <alignment horizontal="right"/>
    </xf>
    <xf numFmtId="43" fontId="2" fillId="0" borderId="0" xfId="1" applyFont="1" applyAlignment="1" applyProtection="1">
      <alignment horizontal="center"/>
    </xf>
    <xf numFmtId="0" fontId="2" fillId="0" borderId="0" xfId="0" applyFont="1" applyAlignment="1">
      <alignment horizontal="center"/>
    </xf>
    <xf numFmtId="43" fontId="0" fillId="0" borderId="0" xfId="1" applyFont="1" applyAlignment="1" applyProtection="1">
      <alignment horizontal="right"/>
    </xf>
    <xf numFmtId="43" fontId="2" fillId="0" borderId="0" xfId="1" applyFont="1" applyAlignment="1" applyProtection="1">
      <alignment horizontal="right"/>
    </xf>
    <xf numFmtId="168" fontId="12" fillId="0" borderId="0" xfId="1" applyNumberFormat="1" applyFont="1" applyAlignment="1" applyProtection="1">
      <alignment horizontal="right"/>
    </xf>
    <xf numFmtId="1" fontId="0" fillId="0" borderId="0" xfId="1" applyNumberFormat="1" applyFont="1" applyAlignment="1" applyProtection="1">
      <alignment horizontal="center"/>
    </xf>
    <xf numFmtId="43" fontId="0" fillId="0" borderId="0" xfId="1" applyFont="1" applyProtection="1"/>
    <xf numFmtId="43" fontId="0" fillId="0" borderId="0" xfId="1" applyFont="1" applyAlignment="1" applyProtection="1">
      <alignment horizontal="center"/>
    </xf>
    <xf numFmtId="0" fontId="0" fillId="0" borderId="0" xfId="0" applyAlignment="1">
      <alignment horizontal="center"/>
    </xf>
    <xf numFmtId="1" fontId="0" fillId="2" borderId="1" xfId="1" applyNumberFormat="1" applyFont="1" applyFill="1" applyBorder="1" applyAlignment="1" applyProtection="1">
      <alignment horizontal="center"/>
    </xf>
    <xf numFmtId="43" fontId="0" fillId="2" borderId="0" xfId="1" applyFont="1" applyFill="1" applyBorder="1" applyAlignment="1" applyProtection="1">
      <alignment horizontal="center"/>
    </xf>
    <xf numFmtId="43" fontId="7" fillId="2" borderId="0" xfId="1" applyFont="1" applyFill="1" applyBorder="1" applyAlignment="1" applyProtection="1">
      <alignment horizontal="center"/>
    </xf>
    <xf numFmtId="43" fontId="0" fillId="0" borderId="0" xfId="1" applyFont="1" applyBorder="1" applyProtection="1"/>
    <xf numFmtId="43" fontId="0" fillId="0" borderId="0" xfId="1" applyFont="1" applyBorder="1" applyAlignment="1" applyProtection="1">
      <alignment vertical="top" wrapText="1"/>
    </xf>
    <xf numFmtId="1" fontId="7" fillId="0" borderId="0" xfId="1" applyNumberFormat="1" applyFont="1" applyAlignment="1" applyProtection="1">
      <alignment horizontal="center"/>
    </xf>
    <xf numFmtId="0" fontId="14" fillId="0" borderId="0" xfId="0" applyFont="1" applyAlignment="1">
      <alignment horizontal="center"/>
    </xf>
    <xf numFmtId="0" fontId="14" fillId="0" borderId="2" xfId="0" applyFont="1" applyBorder="1" applyAlignment="1">
      <alignment horizontal="center"/>
    </xf>
    <xf numFmtId="167" fontId="7" fillId="0" borderId="0" xfId="0" applyNumberFormat="1" applyFont="1" applyAlignment="1">
      <alignment horizontal="center"/>
    </xf>
    <xf numFmtId="167" fontId="16" fillId="0" borderId="0" xfId="0" applyNumberFormat="1" applyFont="1" applyAlignment="1">
      <alignment horizontal="center"/>
    </xf>
    <xf numFmtId="167" fontId="17" fillId="3" borderId="3" xfId="0" applyNumberFormat="1" applyFont="1" applyFill="1" applyBorder="1" applyAlignment="1">
      <alignment horizontal="center"/>
    </xf>
    <xf numFmtId="167" fontId="17" fillId="3" borderId="4" xfId="0" applyNumberFormat="1" applyFont="1" applyFill="1" applyBorder="1" applyAlignment="1">
      <alignment horizontal="center"/>
    </xf>
    <xf numFmtId="167" fontId="18" fillId="0" borderId="0" xfId="0" applyNumberFormat="1" applyFont="1" applyAlignment="1">
      <alignment horizontal="center"/>
    </xf>
    <xf numFmtId="167" fontId="18" fillId="0" borderId="5" xfId="0" applyNumberFormat="1" applyFont="1" applyBorder="1" applyAlignment="1">
      <alignment horizontal="center"/>
    </xf>
    <xf numFmtId="167" fontId="18" fillId="0" borderId="2" xfId="0" applyNumberFormat="1" applyFont="1" applyBorder="1" applyAlignment="1">
      <alignment horizontal="center"/>
    </xf>
    <xf numFmtId="167" fontId="18" fillId="0" borderId="6" xfId="0" applyNumberFormat="1" applyFont="1" applyBorder="1" applyAlignment="1">
      <alignment horizontal="center"/>
    </xf>
    <xf numFmtId="1" fontId="7" fillId="0" borderId="0" xfId="0" applyNumberFormat="1" applyFont="1" applyAlignment="1">
      <alignment horizontal="center"/>
    </xf>
    <xf numFmtId="1"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hidden="1"/>
    </xf>
    <xf numFmtId="0" fontId="2" fillId="0" borderId="0" xfId="0" applyFont="1" applyAlignment="1" applyProtection="1">
      <alignment horizontal="center"/>
      <protection hidden="1"/>
    </xf>
    <xf numFmtId="0" fontId="22" fillId="0" borderId="0" xfId="0" applyFont="1" applyAlignment="1" applyProtection="1">
      <alignment horizontal="left"/>
      <protection hidden="1"/>
    </xf>
    <xf numFmtId="0" fontId="23" fillId="0" borderId="0" xfId="0" applyFont="1" applyProtection="1">
      <protection hidden="1"/>
    </xf>
    <xf numFmtId="0" fontId="24" fillId="0" borderId="0" xfId="0" applyFont="1" applyProtection="1">
      <protection hidden="1"/>
    </xf>
    <xf numFmtId="0" fontId="25" fillId="0" borderId="7" xfId="0" applyFont="1" applyBorder="1" applyAlignment="1" applyProtection="1">
      <alignment horizontal="center" vertical="top" wrapText="1"/>
      <protection hidden="1"/>
    </xf>
    <xf numFmtId="49" fontId="16" fillId="0" borderId="7" xfId="0" applyNumberFormat="1" applyFont="1" applyBorder="1" applyAlignment="1" applyProtection="1">
      <alignment horizontal="center"/>
      <protection hidden="1"/>
    </xf>
    <xf numFmtId="0" fontId="16" fillId="0" borderId="0" xfId="0" applyFont="1" applyProtection="1">
      <protection hidden="1"/>
    </xf>
    <xf numFmtId="0" fontId="16" fillId="0" borderId="0" xfId="0" applyFont="1"/>
    <xf numFmtId="171" fontId="16" fillId="0" borderId="7" xfId="0" applyNumberFormat="1" applyFont="1" applyBorder="1" applyAlignment="1" applyProtection="1">
      <alignment horizontal="center"/>
      <protection hidden="1"/>
    </xf>
    <xf numFmtId="0" fontId="9" fillId="0" borderId="7" xfId="0" applyFont="1" applyBorder="1" applyAlignment="1" applyProtection="1">
      <alignment horizontal="center"/>
      <protection hidden="1"/>
    </xf>
    <xf numFmtId="170" fontId="9" fillId="0" borderId="7"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167" fontId="16"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vertical="top" wrapText="1"/>
      <protection hidden="1"/>
    </xf>
    <xf numFmtId="167"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25" fillId="0" borderId="0" xfId="0" applyFont="1" applyProtection="1">
      <protection hidden="1"/>
    </xf>
    <xf numFmtId="0" fontId="25" fillId="0" borderId="0" xfId="0" applyFont="1"/>
    <xf numFmtId="0" fontId="25" fillId="0" borderId="7" xfId="0" applyFont="1" applyBorder="1" applyAlignment="1" applyProtection="1">
      <alignment horizontal="center"/>
      <protection hidden="1"/>
    </xf>
    <xf numFmtId="0" fontId="16" fillId="0" borderId="7" xfId="0" applyFont="1" applyBorder="1" applyAlignment="1">
      <alignment horizontal="center"/>
    </xf>
    <xf numFmtId="0" fontId="26" fillId="0" borderId="0" xfId="0" applyFont="1"/>
    <xf numFmtId="0" fontId="4" fillId="0" borderId="0" xfId="0" applyFont="1"/>
    <xf numFmtId="49" fontId="2"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49" fontId="9" fillId="0" borderId="0" xfId="0" applyNumberFormat="1" applyFont="1" applyAlignment="1" applyProtection="1">
      <alignment horizontal="center"/>
      <protection hidden="1"/>
    </xf>
    <xf numFmtId="0" fontId="27" fillId="0" borderId="0" xfId="0" applyFont="1" applyProtection="1">
      <protection hidden="1"/>
    </xf>
    <xf numFmtId="0" fontId="7" fillId="0" borderId="0" xfId="0" applyFont="1" applyProtection="1">
      <protection hidden="1"/>
    </xf>
    <xf numFmtId="0" fontId="27" fillId="0" borderId="0" xfId="0" applyFont="1"/>
    <xf numFmtId="171" fontId="27" fillId="0" borderId="0" xfId="0" applyNumberFormat="1" applyFont="1" applyAlignment="1" applyProtection="1">
      <alignment horizontal="left"/>
      <protection hidden="1"/>
    </xf>
    <xf numFmtId="43" fontId="22" fillId="0" borderId="0" xfId="0" applyNumberFormat="1" applyFont="1" applyAlignment="1" applyProtection="1">
      <alignment horizontal="left"/>
      <protection hidden="1"/>
    </xf>
    <xf numFmtId="1" fontId="0" fillId="2" borderId="0" xfId="1" applyNumberFormat="1" applyFont="1" applyFill="1" applyBorder="1" applyAlignment="1" applyProtection="1">
      <alignment horizontal="center"/>
    </xf>
    <xf numFmtId="1" fontId="7" fillId="0" borderId="0" xfId="1" applyNumberFormat="1" applyFont="1" applyBorder="1" applyAlignment="1" applyProtection="1">
      <alignment horizontal="center"/>
    </xf>
    <xf numFmtId="1" fontId="7" fillId="0" borderId="0" xfId="1" applyNumberFormat="1" applyFont="1" applyFill="1" applyBorder="1" applyAlignment="1" applyProtection="1">
      <alignment horizontal="center"/>
    </xf>
    <xf numFmtId="0" fontId="0" fillId="0" borderId="0" xfId="0" applyAlignment="1">
      <alignment vertical="center" wrapText="1"/>
    </xf>
    <xf numFmtId="0" fontId="2" fillId="0" borderId="0" xfId="0" applyFont="1" applyAlignment="1">
      <alignment vertical="center" wrapText="1"/>
    </xf>
    <xf numFmtId="0" fontId="14" fillId="0" borderId="0" xfId="0" applyFont="1" applyAlignment="1">
      <alignment vertical="center" wrapText="1"/>
    </xf>
    <xf numFmtId="0" fontId="14" fillId="0" borderId="0" xfId="0" applyFont="1"/>
    <xf numFmtId="0" fontId="14" fillId="0" borderId="0" xfId="0" applyFont="1" applyAlignment="1">
      <alignment vertical="center"/>
    </xf>
    <xf numFmtId="0" fontId="0" fillId="0" borderId="0" xfId="0" applyAlignment="1">
      <alignment vertical="center"/>
    </xf>
    <xf numFmtId="43" fontId="12" fillId="0" borderId="9" xfId="1" applyFont="1" applyBorder="1" applyAlignment="1" applyProtection="1">
      <alignment vertical="center"/>
    </xf>
    <xf numFmtId="43" fontId="0" fillId="0" borderId="0" xfId="1" applyFont="1" applyAlignment="1" applyProtection="1">
      <alignment horizontal="left" indent="11"/>
    </xf>
    <xf numFmtId="170" fontId="0" fillId="0" borderId="0" xfId="0" applyNumberFormat="1" applyAlignment="1">
      <alignment horizontal="center"/>
    </xf>
    <xf numFmtId="167" fontId="0" fillId="0" borderId="0" xfId="1" applyNumberFormat="1" applyFont="1" applyAlignment="1" applyProtection="1">
      <alignment horizontal="center"/>
    </xf>
    <xf numFmtId="43" fontId="2" fillId="0" borderId="10" xfId="1" applyFont="1" applyBorder="1" applyAlignment="1" applyProtection="1">
      <alignment horizontal="left" indent="11"/>
    </xf>
    <xf numFmtId="43" fontId="0" fillId="0" borderId="0" xfId="1" applyFont="1" applyBorder="1" applyAlignment="1" applyProtection="1">
      <alignment horizontal="right"/>
    </xf>
    <xf numFmtId="0" fontId="0" fillId="0" borderId="0" xfId="0" applyProtection="1">
      <protection locked="0"/>
    </xf>
    <xf numFmtId="0" fontId="31" fillId="0" borderId="0" xfId="0" applyFont="1"/>
    <xf numFmtId="0" fontId="23" fillId="0" borderId="0" xfId="0" applyFont="1"/>
    <xf numFmtId="0" fontId="33" fillId="0" borderId="0" xfId="0" applyFont="1"/>
    <xf numFmtId="0" fontId="38" fillId="0" borderId="0" xfId="0" applyFont="1"/>
    <xf numFmtId="0" fontId="42" fillId="0" borderId="0" xfId="0" applyFont="1"/>
    <xf numFmtId="0" fontId="23" fillId="0" borderId="0" xfId="0" applyFont="1" applyAlignment="1">
      <alignment horizontal="left" indent="5"/>
    </xf>
    <xf numFmtId="0" fontId="31" fillId="0" borderId="0" xfId="0" applyFont="1" applyAlignment="1">
      <alignment horizontal="left" indent="5"/>
    </xf>
    <xf numFmtId="0" fontId="33" fillId="0" borderId="0" xfId="0" applyFont="1" applyAlignment="1">
      <alignment horizontal="left"/>
    </xf>
    <xf numFmtId="0" fontId="38" fillId="0" borderId="0" xfId="0" applyFont="1" applyAlignment="1">
      <alignment horizontal="left" indent="5"/>
    </xf>
    <xf numFmtId="0" fontId="25" fillId="0" borderId="0" xfId="0" applyFont="1" applyAlignment="1" applyProtection="1">
      <alignment horizontal="center"/>
      <protection hidden="1"/>
    </xf>
    <xf numFmtId="49" fontId="25" fillId="0" borderId="0" xfId="0" applyNumberFormat="1" applyFont="1" applyAlignment="1" applyProtection="1">
      <alignment horizontal="center"/>
      <protection hidden="1"/>
    </xf>
    <xf numFmtId="49" fontId="34"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25" fillId="0" borderId="7" xfId="0" applyFont="1" applyBorder="1" applyAlignment="1">
      <alignment horizontal="center"/>
    </xf>
    <xf numFmtId="171" fontId="25" fillId="0" borderId="7" xfId="0" applyNumberFormat="1" applyFont="1" applyBorder="1" applyAlignment="1" applyProtection="1">
      <alignment horizontal="center"/>
      <protection hidden="1"/>
    </xf>
    <xf numFmtId="49" fontId="25" fillId="0" borderId="7" xfId="0" applyNumberFormat="1" applyFont="1" applyBorder="1" applyAlignment="1" applyProtection="1">
      <alignment horizontal="center"/>
      <protection hidden="1"/>
    </xf>
    <xf numFmtId="170" fontId="25" fillId="0" borderId="7" xfId="0" applyNumberFormat="1" applyFont="1" applyBorder="1" applyAlignment="1" applyProtection="1">
      <alignment horizontal="center"/>
      <protection hidden="1"/>
    </xf>
    <xf numFmtId="0" fontId="25" fillId="0" borderId="8" xfId="0" applyFont="1" applyBorder="1" applyAlignment="1" applyProtection="1">
      <alignment horizontal="center"/>
      <protection hidden="1"/>
    </xf>
    <xf numFmtId="170" fontId="43" fillId="0" borderId="0" xfId="1" applyNumberFormat="1" applyFont="1" applyAlignment="1" applyProtection="1"/>
    <xf numFmtId="170" fontId="43" fillId="0" borderId="0" xfId="0" applyNumberFormat="1" applyFont="1"/>
    <xf numFmtId="0" fontId="2" fillId="0" borderId="0" xfId="0" applyFont="1"/>
    <xf numFmtId="43" fontId="30" fillId="4" borderId="3" xfId="1" applyFont="1" applyFill="1" applyBorder="1" applyAlignment="1" applyProtection="1">
      <alignment horizontal="center"/>
    </xf>
    <xf numFmtId="43" fontId="11" fillId="4" borderId="0" xfId="1" applyFont="1" applyFill="1" applyBorder="1" applyAlignment="1" applyProtection="1">
      <alignment horizontal="center"/>
      <protection locked="0"/>
    </xf>
    <xf numFmtId="49" fontId="11" fillId="4" borderId="0" xfId="1" applyNumberFormat="1" applyFont="1" applyFill="1" applyBorder="1" applyAlignment="1" applyProtection="1">
      <alignment horizontal="center"/>
      <protection locked="0"/>
    </xf>
    <xf numFmtId="49" fontId="20" fillId="4" borderId="0" xfId="0" applyNumberFormat="1" applyFont="1" applyFill="1" applyAlignment="1" applyProtection="1">
      <alignment horizontal="center"/>
      <protection locked="0"/>
    </xf>
    <xf numFmtId="43" fontId="10" fillId="4" borderId="0" xfId="1" applyFont="1" applyFill="1" applyBorder="1" applyAlignment="1" applyProtection="1">
      <alignment horizontal="center"/>
      <protection locked="0"/>
    </xf>
    <xf numFmtId="168" fontId="10" fillId="4" borderId="0" xfId="1" applyNumberFormat="1" applyFont="1" applyFill="1" applyBorder="1" applyAlignment="1" applyProtection="1">
      <alignment horizontal="center"/>
      <protection locked="0"/>
    </xf>
    <xf numFmtId="3" fontId="10" fillId="4" borderId="0" xfId="1" applyNumberFormat="1" applyFont="1" applyFill="1" applyBorder="1" applyAlignment="1" applyProtection="1">
      <alignment horizontal="center"/>
      <protection locked="0"/>
    </xf>
    <xf numFmtId="164" fontId="10" fillId="4" borderId="0" xfId="1" applyNumberFormat="1" applyFont="1" applyFill="1" applyBorder="1" applyAlignment="1" applyProtection="1">
      <alignment horizontal="center"/>
      <protection locked="0"/>
    </xf>
    <xf numFmtId="49" fontId="20" fillId="4" borderId="0" xfId="1" applyNumberFormat="1" applyFont="1" applyFill="1" applyBorder="1" applyAlignment="1" applyProtection="1">
      <alignment horizontal="center"/>
      <protection locked="0"/>
    </xf>
    <xf numFmtId="49" fontId="45" fillId="4" borderId="0" xfId="2" applyNumberFormat="1" applyFont="1" applyFill="1" applyBorder="1" applyAlignment="1" applyProtection="1">
      <alignment horizontal="center"/>
      <protection locked="0"/>
    </xf>
    <xf numFmtId="170" fontId="20" fillId="4" borderId="0" xfId="0" applyNumberFormat="1" applyFont="1" applyFill="1" applyAlignment="1" applyProtection="1">
      <alignment horizontal="center"/>
      <protection locked="0"/>
    </xf>
    <xf numFmtId="0" fontId="33" fillId="4" borderId="0" xfId="0" applyFont="1" applyFill="1"/>
    <xf numFmtId="0" fontId="32" fillId="0" borderId="0" xfId="0" applyFont="1"/>
    <xf numFmtId="0" fontId="39" fillId="0" borderId="0" xfId="0" applyFont="1"/>
    <xf numFmtId="0" fontId="35" fillId="0" borderId="0" xfId="0" applyFont="1" applyAlignment="1">
      <alignment horizontal="center"/>
    </xf>
    <xf numFmtId="0" fontId="36" fillId="0" borderId="0" xfId="0" applyFont="1"/>
    <xf numFmtId="0" fontId="23" fillId="0" borderId="0" xfId="0" applyFont="1" applyAlignment="1">
      <alignment horizontal="center"/>
    </xf>
    <xf numFmtId="0" fontId="23" fillId="0" borderId="0" xfId="0" applyFont="1" applyAlignment="1">
      <alignment horizontal="right"/>
    </xf>
    <xf numFmtId="165" fontId="23" fillId="0" borderId="0" xfId="0" applyNumberFormat="1" applyFont="1"/>
    <xf numFmtId="0" fontId="40" fillId="0" borderId="0" xfId="0" applyFont="1"/>
    <xf numFmtId="14" fontId="37" fillId="5" borderId="0" xfId="0" applyNumberFormat="1" applyFont="1" applyFill="1"/>
    <xf numFmtId="164" fontId="23" fillId="0" borderId="0" xfId="0" applyNumberFormat="1" applyFont="1"/>
    <xf numFmtId="164" fontId="37" fillId="5" borderId="0" xfId="0" applyNumberFormat="1" applyFont="1" applyFill="1"/>
    <xf numFmtId="166" fontId="36" fillId="0" borderId="0" xfId="0" applyNumberFormat="1" applyFont="1"/>
    <xf numFmtId="164" fontId="31" fillId="0" borderId="0" xfId="0" applyNumberFormat="1" applyFont="1"/>
    <xf numFmtId="0" fontId="37" fillId="5" borderId="0" xfId="0" applyFont="1" applyFill="1"/>
    <xf numFmtId="164" fontId="31" fillId="5" borderId="0" xfId="0" applyNumberFormat="1" applyFont="1" applyFill="1"/>
    <xf numFmtId="1" fontId="37" fillId="5" borderId="0" xfId="0" applyNumberFormat="1" applyFont="1" applyFill="1"/>
    <xf numFmtId="164" fontId="39" fillId="0" borderId="0" xfId="0" applyNumberFormat="1" applyFont="1"/>
    <xf numFmtId="43" fontId="12" fillId="0" borderId="0" xfId="1" applyFont="1" applyBorder="1" applyAlignment="1" applyProtection="1">
      <alignment horizontal="right"/>
    </xf>
    <xf numFmtId="0" fontId="37" fillId="0" borderId="0" xfId="0" applyFont="1"/>
    <xf numFmtId="0" fontId="23" fillId="0" borderId="0" xfId="0" applyFont="1" applyAlignment="1">
      <alignment horizontal="center" vertical="center" wrapText="1"/>
    </xf>
    <xf numFmtId="165" fontId="37" fillId="5" borderId="0" xfId="0" applyNumberFormat="1" applyFont="1" applyFill="1"/>
    <xf numFmtId="165" fontId="37" fillId="5" borderId="11" xfId="0" applyNumberFormat="1" applyFont="1" applyFill="1" applyBorder="1"/>
    <xf numFmtId="165" fontId="37" fillId="5" borderId="10" xfId="0" applyNumberFormat="1" applyFont="1" applyFill="1" applyBorder="1"/>
    <xf numFmtId="0" fontId="2" fillId="0" borderId="1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1" fillId="0" borderId="0" xfId="0" applyFont="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xf>
    <xf numFmtId="0" fontId="19" fillId="0" borderId="5" xfId="0" applyFont="1" applyBorder="1" applyAlignment="1">
      <alignment horizontal="center"/>
    </xf>
    <xf numFmtId="0" fontId="0" fillId="0" borderId="1" xfId="0" applyBorder="1"/>
    <xf numFmtId="0" fontId="19" fillId="0" borderId="5" xfId="0" applyFont="1" applyBorder="1"/>
    <xf numFmtId="0" fontId="0" fillId="2" borderId="0" xfId="0" applyFill="1" applyAlignment="1">
      <alignment horizontal="center"/>
    </xf>
    <xf numFmtId="0" fontId="0" fillId="0" borderId="5" xfId="0" applyBorder="1"/>
    <xf numFmtId="0" fontId="2" fillId="0" borderId="1" xfId="0" applyFont="1" applyBorder="1"/>
    <xf numFmtId="0" fontId="19" fillId="0" borderId="13" xfId="0" applyFont="1" applyBorder="1"/>
    <xf numFmtId="0" fontId="19" fillId="0" borderId="2" xfId="0" applyFont="1" applyBorder="1"/>
    <xf numFmtId="0" fontId="19" fillId="0" borderId="6" xfId="0" applyFont="1" applyBorder="1"/>
    <xf numFmtId="0" fontId="19" fillId="0" borderId="0" xfId="0" applyFont="1"/>
    <xf numFmtId="0" fontId="3" fillId="0" borderId="0" xfId="0" applyFont="1"/>
    <xf numFmtId="0" fontId="2" fillId="0" borderId="0" xfId="0" applyFont="1" applyAlignment="1">
      <alignment horizontal="right"/>
    </xf>
    <xf numFmtId="0" fontId="9" fillId="0" borderId="0" xfId="0" applyFont="1" applyAlignment="1">
      <alignment horizontal="center"/>
    </xf>
    <xf numFmtId="0" fontId="13" fillId="0" borderId="0" xfId="0" applyFont="1" applyAlignment="1">
      <alignment horizontal="center"/>
    </xf>
    <xf numFmtId="0" fontId="38" fillId="0" borderId="0" xfId="0" applyFont="1" applyAlignment="1">
      <alignment horizontal="center"/>
    </xf>
    <xf numFmtId="0" fontId="32" fillId="0" borderId="0" xfId="0" applyFont="1" applyAlignment="1">
      <alignment horizontal="left" indent="5"/>
    </xf>
    <xf numFmtId="166" fontId="36" fillId="4" borderId="0" xfId="0" applyNumberFormat="1" applyFont="1" applyFill="1"/>
    <xf numFmtId="14" fontId="36" fillId="4" borderId="0" xfId="0" applyNumberFormat="1" applyFont="1" applyFill="1"/>
    <xf numFmtId="43" fontId="6" fillId="4" borderId="0" xfId="1" applyFont="1" applyFill="1" applyBorder="1" applyAlignment="1" applyProtection="1">
      <alignment horizontal="right"/>
    </xf>
    <xf numFmtId="0" fontId="36" fillId="4" borderId="0" xfId="0" applyFont="1" applyFill="1" applyAlignment="1">
      <alignment horizontal="center"/>
    </xf>
    <xf numFmtId="167" fontId="36" fillId="4" borderId="0" xfId="0" applyNumberFormat="1" applyFont="1" applyFill="1" applyAlignment="1">
      <alignment horizontal="center"/>
    </xf>
    <xf numFmtId="0" fontId="36" fillId="4" borderId="0" xfId="0" applyFont="1" applyFill="1" applyAlignment="1">
      <alignment horizontal="right"/>
    </xf>
    <xf numFmtId="0" fontId="39" fillId="0" borderId="0" xfId="0" applyFont="1" applyAlignment="1">
      <alignment horizontal="center"/>
    </xf>
    <xf numFmtId="0" fontId="37" fillId="5" borderId="0" xfId="0" applyFont="1" applyFill="1" applyAlignment="1">
      <alignment horizontal="center"/>
    </xf>
    <xf numFmtId="0" fontId="31" fillId="0" borderId="0" xfId="0" applyFont="1" applyAlignment="1">
      <alignment horizontal="center"/>
    </xf>
    <xf numFmtId="0" fontId="23" fillId="4" borderId="0" xfId="0" applyFont="1" applyFill="1" applyAlignment="1">
      <alignment horizontal="center"/>
    </xf>
    <xf numFmtId="0" fontId="46" fillId="6" borderId="0" xfId="0" applyFont="1" applyFill="1"/>
    <xf numFmtId="0" fontId="47" fillId="6" borderId="0" xfId="0" applyFont="1" applyFill="1"/>
    <xf numFmtId="0" fontId="48" fillId="6" borderId="0" xfId="0" applyFont="1" applyFill="1"/>
    <xf numFmtId="0" fontId="49" fillId="0" borderId="0" xfId="0" applyFont="1"/>
    <xf numFmtId="0" fontId="33" fillId="0" borderId="0" xfId="0" applyFont="1" applyAlignment="1">
      <alignment horizontal="left" indent="5"/>
    </xf>
    <xf numFmtId="43" fontId="0" fillId="0" borderId="0" xfId="1" applyFont="1" applyBorder="1" applyAlignment="1" applyProtection="1">
      <alignment vertical="top" wrapText="1"/>
      <protection locked="0"/>
    </xf>
    <xf numFmtId="43" fontId="0" fillId="0" borderId="0" xfId="1" applyFont="1" applyBorder="1" applyProtection="1">
      <protection locked="0"/>
    </xf>
    <xf numFmtId="0" fontId="13" fillId="0" borderId="0" xfId="0" applyFont="1" applyAlignment="1" applyProtection="1">
      <alignment horizontal="center"/>
      <protection locked="0"/>
    </xf>
    <xf numFmtId="167" fontId="16" fillId="0" borderId="0" xfId="0" applyNumberFormat="1" applyFont="1" applyAlignment="1" applyProtection="1">
      <alignment horizontal="center" vertical="center" wrapText="1"/>
      <protection locked="0"/>
    </xf>
    <xf numFmtId="0" fontId="44" fillId="3" borderId="0" xfId="0" applyFont="1" applyFill="1" applyAlignment="1" applyProtection="1">
      <alignment horizontal="center" vertical="center" wrapText="1"/>
      <protection locked="0"/>
    </xf>
    <xf numFmtId="174" fontId="7" fillId="0" borderId="0" xfId="1" applyNumberFormat="1" applyFont="1" applyAlignment="1" applyProtection="1">
      <alignment horizontal="right"/>
      <protection locked="0"/>
    </xf>
    <xf numFmtId="43" fontId="7" fillId="0" borderId="0" xfId="1" applyFont="1" applyAlignment="1" applyProtection="1">
      <alignment horizontal="left" indent="11"/>
      <protection locked="0"/>
    </xf>
    <xf numFmtId="167" fontId="7" fillId="0" borderId="0" xfId="0" applyNumberFormat="1" applyFont="1" applyAlignment="1" applyProtection="1">
      <alignment horizontal="right"/>
      <protection locked="0"/>
    </xf>
    <xf numFmtId="43" fontId="9" fillId="0" borderId="10" xfId="1" applyFont="1" applyBorder="1" applyAlignment="1" applyProtection="1">
      <alignment horizontal="left" indent="11"/>
      <protection locked="0"/>
    </xf>
    <xf numFmtId="1" fontId="8" fillId="3" borderId="0" xfId="0" applyNumberFormat="1" applyFont="1" applyFill="1" applyAlignment="1" applyProtection="1">
      <alignment horizontal="center"/>
      <protection locked="0"/>
    </xf>
    <xf numFmtId="0" fontId="14" fillId="0" borderId="0" xfId="0" applyFont="1" applyProtection="1">
      <protection locked="0"/>
    </xf>
    <xf numFmtId="43" fontId="1" fillId="0" borderId="0" xfId="1" applyFont="1" applyAlignment="1" applyProtection="1">
      <protection locked="0"/>
    </xf>
    <xf numFmtId="0" fontId="50" fillId="0" borderId="0" xfId="0" applyFont="1"/>
    <xf numFmtId="0" fontId="51" fillId="0" borderId="0" xfId="0" applyFont="1"/>
    <xf numFmtId="0" fontId="52" fillId="0" borderId="0" xfId="0" applyFont="1"/>
    <xf numFmtId="0" fontId="54" fillId="0" borderId="0" xfId="0" applyFont="1"/>
    <xf numFmtId="0" fontId="53" fillId="0" borderId="0" xfId="0" applyFont="1" applyAlignment="1">
      <alignment horizontal="center"/>
    </xf>
    <xf numFmtId="0" fontId="55" fillId="0" borderId="0" xfId="0" applyFont="1" applyAlignment="1">
      <alignment horizontal="center"/>
    </xf>
    <xf numFmtId="0" fontId="52" fillId="0" borderId="0" xfId="0" applyFont="1" applyProtection="1">
      <protection locked="0"/>
    </xf>
    <xf numFmtId="0" fontId="55" fillId="0" borderId="0" xfId="0" applyFont="1" applyAlignment="1" applyProtection="1">
      <alignment horizontal="center"/>
      <protection locked="0"/>
    </xf>
    <xf numFmtId="175" fontId="1" fillId="0" borderId="0" xfId="0" applyNumberFormat="1" applyFont="1" applyAlignment="1" applyProtection="1">
      <alignment horizontal="right"/>
      <protection locked="0"/>
    </xf>
    <xf numFmtId="0" fontId="57" fillId="0" borderId="0" xfId="0" applyFont="1" applyAlignment="1">
      <alignment horizontal="center"/>
    </xf>
    <xf numFmtId="0" fontId="32" fillId="0" borderId="0" xfId="0" applyFont="1" applyAlignment="1">
      <alignment horizontal="center"/>
    </xf>
    <xf numFmtId="0" fontId="40" fillId="0" borderId="0" xfId="0" applyFont="1" applyAlignment="1">
      <alignment horizontal="center"/>
    </xf>
    <xf numFmtId="0" fontId="57" fillId="6" borderId="0" xfId="0" applyFont="1" applyFill="1" applyAlignment="1">
      <alignment horizontal="center"/>
    </xf>
    <xf numFmtId="0" fontId="32" fillId="4" borderId="0" xfId="0" applyFont="1" applyFill="1" applyAlignment="1">
      <alignment horizontal="center"/>
    </xf>
    <xf numFmtId="0" fontId="35" fillId="5" borderId="0" xfId="0" applyFont="1" applyFill="1" applyAlignment="1">
      <alignment horizontal="center"/>
    </xf>
    <xf numFmtId="0" fontId="41" fillId="6" borderId="0" xfId="0" applyFont="1" applyFill="1" applyAlignment="1">
      <alignment horizontal="center"/>
    </xf>
    <xf numFmtId="170" fontId="43" fillId="0" borderId="0" xfId="1" applyNumberFormat="1" applyFont="1" applyAlignment="1" applyProtection="1">
      <alignment horizontal="right"/>
    </xf>
    <xf numFmtId="170" fontId="36" fillId="4" borderId="0" xfId="0" applyNumberFormat="1" applyFont="1" applyFill="1"/>
    <xf numFmtId="0" fontId="23" fillId="6" borderId="0" xfId="0" applyFont="1" applyFill="1"/>
    <xf numFmtId="14" fontId="23" fillId="0" borderId="0" xfId="0" applyNumberFormat="1" applyFont="1"/>
    <xf numFmtId="165" fontId="25" fillId="0" borderId="7" xfId="0" applyNumberFormat="1" applyFont="1" applyBorder="1" applyAlignment="1" applyProtection="1">
      <alignment horizontal="center"/>
      <protection hidden="1"/>
    </xf>
    <xf numFmtId="170" fontId="25" fillId="0" borderId="14" xfId="0" applyNumberFormat="1" applyFont="1" applyBorder="1" applyAlignment="1" applyProtection="1">
      <alignment horizontal="center"/>
      <protection hidden="1"/>
    </xf>
    <xf numFmtId="165" fontId="23" fillId="0" borderId="0" xfId="0" applyNumberFormat="1" applyFont="1" applyProtection="1">
      <protection hidden="1"/>
    </xf>
    <xf numFmtId="165" fontId="27" fillId="0" borderId="0" xfId="0" applyNumberFormat="1" applyFont="1" applyProtection="1">
      <protection hidden="1"/>
    </xf>
    <xf numFmtId="165" fontId="25" fillId="0" borderId="8" xfId="0" applyNumberFormat="1" applyFont="1" applyBorder="1" applyAlignment="1" applyProtection="1">
      <alignment horizontal="center"/>
      <protection hidden="1"/>
    </xf>
    <xf numFmtId="43" fontId="12" fillId="0" borderId="0" xfId="1" applyFont="1" applyFill="1" applyBorder="1" applyAlignment="1" applyProtection="1">
      <alignment horizontal="left"/>
    </xf>
    <xf numFmtId="166" fontId="36" fillId="4" borderId="0" xfId="0" applyNumberFormat="1" applyFont="1" applyFill="1" applyAlignment="1">
      <alignment horizontal="center"/>
    </xf>
    <xf numFmtId="49" fontId="12" fillId="0" borderId="0" xfId="0" applyNumberFormat="1" applyFont="1" applyAlignment="1" applyProtection="1">
      <alignment horizontal="left"/>
      <protection locked="0"/>
    </xf>
    <xf numFmtId="1" fontId="58" fillId="3" borderId="3" xfId="1" applyNumberFormat="1" applyFont="1" applyFill="1" applyBorder="1" applyAlignment="1" applyProtection="1">
      <alignment horizontal="center"/>
    </xf>
    <xf numFmtId="0" fontId="58" fillId="3" borderId="3" xfId="0" applyFont="1" applyFill="1" applyBorder="1" applyAlignment="1">
      <alignment horizontal="center"/>
    </xf>
    <xf numFmtId="1" fontId="44" fillId="3" borderId="12" xfId="1" applyNumberFormat="1" applyFont="1" applyFill="1" applyBorder="1" applyAlignment="1" applyProtection="1">
      <alignment horizontal="center"/>
      <protection locked="0"/>
    </xf>
    <xf numFmtId="0" fontId="58" fillId="3" borderId="3" xfId="0" applyFont="1" applyFill="1" applyBorder="1" applyAlignment="1" applyProtection="1">
      <alignment horizontal="left"/>
      <protection locked="0"/>
    </xf>
    <xf numFmtId="167" fontId="44" fillId="3" borderId="3" xfId="0" applyNumberFormat="1" applyFont="1" applyFill="1" applyBorder="1" applyAlignment="1" applyProtection="1">
      <alignment horizontal="center"/>
      <protection locked="0"/>
    </xf>
    <xf numFmtId="167" fontId="44" fillId="3" borderId="4" xfId="0" applyNumberFormat="1" applyFont="1" applyFill="1" applyBorder="1" applyAlignment="1" applyProtection="1">
      <alignment horizontal="center"/>
      <protection locked="0"/>
    </xf>
    <xf numFmtId="1" fontId="0" fillId="2" borderId="15" xfId="1" applyNumberFormat="1" applyFont="1" applyFill="1" applyBorder="1" applyAlignment="1" applyProtection="1">
      <alignment horizontal="center"/>
    </xf>
    <xf numFmtId="1" fontId="7" fillId="0" borderId="15" xfId="1" applyNumberFormat="1" applyFont="1" applyBorder="1" applyAlignment="1" applyProtection="1">
      <alignment horizontal="left"/>
    </xf>
    <xf numFmtId="1" fontId="7" fillId="0" borderId="15" xfId="0" applyNumberFormat="1" applyFont="1" applyBorder="1" applyAlignment="1">
      <alignment horizontal="left"/>
    </xf>
    <xf numFmtId="1" fontId="7" fillId="0" borderId="15" xfId="1" applyNumberFormat="1" applyFont="1" applyFill="1" applyBorder="1" applyAlignment="1" applyProtection="1">
      <alignment horizontal="left"/>
    </xf>
    <xf numFmtId="1" fontId="58" fillId="3" borderId="16" xfId="1" applyNumberFormat="1" applyFont="1" applyFill="1" applyBorder="1" applyAlignment="1" applyProtection="1">
      <alignment horizontal="center"/>
    </xf>
    <xf numFmtId="1" fontId="44" fillId="3" borderId="16" xfId="1" applyNumberFormat="1" applyFont="1" applyFill="1" applyBorder="1" applyAlignment="1" applyProtection="1">
      <alignment horizontal="center"/>
      <protection locked="0"/>
    </xf>
    <xf numFmtId="167" fontId="16" fillId="0" borderId="15" xfId="0" applyNumberFormat="1" applyFont="1" applyBorder="1" applyAlignment="1" applyProtection="1">
      <alignment horizontal="center" vertical="center" wrapText="1"/>
      <protection locked="0"/>
    </xf>
    <xf numFmtId="1" fontId="58" fillId="3" borderId="15" xfId="0" applyNumberFormat="1" applyFont="1" applyFill="1" applyBorder="1" applyAlignment="1" applyProtection="1">
      <alignment horizontal="left"/>
      <protection locked="0"/>
    </xf>
    <xf numFmtId="0" fontId="7" fillId="2" borderId="0" xfId="0" applyFont="1" applyFill="1" applyAlignment="1">
      <alignment horizontal="center"/>
    </xf>
    <xf numFmtId="0" fontId="14" fillId="2" borderId="0" xfId="0" applyFont="1" applyFill="1" applyAlignment="1">
      <alignment horizontal="left"/>
    </xf>
    <xf numFmtId="3" fontId="0" fillId="2" borderId="0" xfId="0" applyNumberFormat="1" applyFill="1" applyAlignment="1">
      <alignment horizontal="center"/>
    </xf>
    <xf numFmtId="169" fontId="10" fillId="4" borderId="0" xfId="0" applyNumberFormat="1" applyFont="1" applyFill="1" applyAlignment="1" applyProtection="1">
      <alignment horizontal="center"/>
      <protection locked="0"/>
    </xf>
    <xf numFmtId="169" fontId="0" fillId="2" borderId="0" xfId="0" applyNumberFormat="1" applyFill="1" applyAlignment="1">
      <alignment horizontal="center"/>
    </xf>
    <xf numFmtId="164" fontId="10" fillId="2" borderId="0" xfId="1" applyNumberFormat="1" applyFont="1" applyFill="1" applyBorder="1" applyAlignment="1" applyProtection="1">
      <alignment horizontal="center"/>
    </xf>
    <xf numFmtId="0" fontId="59" fillId="2" borderId="0" xfId="0" applyFont="1" applyFill="1" applyAlignment="1">
      <alignment horizontal="left"/>
    </xf>
    <xf numFmtId="1" fontId="60" fillId="2" borderId="15" xfId="1" applyNumberFormat="1" applyFont="1" applyFill="1" applyBorder="1" applyAlignment="1" applyProtection="1">
      <alignment horizontal="center"/>
    </xf>
    <xf numFmtId="1" fontId="60" fillId="2" borderId="0" xfId="1" applyNumberFormat="1" applyFont="1" applyFill="1" applyBorder="1" applyAlignment="1" applyProtection="1">
      <alignment horizontal="center"/>
    </xf>
    <xf numFmtId="164" fontId="19" fillId="2" borderId="0" xfId="1" applyNumberFormat="1" applyFont="1" applyFill="1" applyBorder="1" applyAlignment="1" applyProtection="1">
      <alignment horizontal="left"/>
    </xf>
    <xf numFmtId="0" fontId="61" fillId="2" borderId="0" xfId="2" applyFont="1" applyFill="1" applyBorder="1" applyAlignment="1" applyProtection="1">
      <alignment horizontal="left"/>
    </xf>
    <xf numFmtId="1" fontId="63" fillId="2" borderId="15" xfId="1" applyNumberFormat="1" applyFont="1" applyFill="1" applyBorder="1" applyAlignment="1" applyProtection="1">
      <alignment horizontal="center"/>
    </xf>
    <xf numFmtId="0" fontId="64" fillId="7" borderId="17" xfId="0" applyFont="1" applyFill="1" applyBorder="1"/>
    <xf numFmtId="1" fontId="65" fillId="2" borderId="0" xfId="1" applyNumberFormat="1" applyFont="1" applyFill="1" applyBorder="1" applyAlignment="1" applyProtection="1">
      <alignment horizontal="center"/>
    </xf>
    <xf numFmtId="0" fontId="66" fillId="0" borderId="0" xfId="0" applyFont="1" applyAlignment="1">
      <alignment horizontal="center"/>
    </xf>
    <xf numFmtId="167" fontId="2" fillId="0" borderId="0" xfId="1" applyNumberFormat="1" applyFont="1" applyBorder="1" applyAlignment="1" applyProtection="1">
      <alignment horizontal="center"/>
    </xf>
    <xf numFmtId="0" fontId="67" fillId="0" borderId="0" xfId="0" applyFont="1" applyProtection="1">
      <protection locked="0"/>
    </xf>
    <xf numFmtId="43" fontId="19" fillId="0" borderId="0" xfId="1" applyFont="1" applyBorder="1" applyAlignment="1" applyProtection="1"/>
    <xf numFmtId="0" fontId="4" fillId="2" borderId="0" xfId="0" applyFont="1" applyFill="1" applyAlignment="1">
      <alignment horizontal="left"/>
    </xf>
    <xf numFmtId="0" fontId="68" fillId="0" borderId="0" xfId="0" applyFont="1" applyAlignment="1">
      <alignment horizontal="center"/>
    </xf>
    <xf numFmtId="0" fontId="69" fillId="0" borderId="0" xfId="0" applyFont="1"/>
    <xf numFmtId="0" fontId="68" fillId="0" borderId="0" xfId="0" applyFont="1"/>
    <xf numFmtId="0" fontId="70" fillId="0" borderId="0" xfId="0" applyFont="1" applyAlignment="1">
      <alignment horizontal="center"/>
    </xf>
    <xf numFmtId="0" fontId="70" fillId="0" borderId="0" xfId="0" applyFont="1"/>
    <xf numFmtId="0" fontId="71" fillId="0" borderId="0" xfId="0" applyFont="1"/>
    <xf numFmtId="15" fontId="70" fillId="0" borderId="0" xfId="0" applyNumberFormat="1" applyFont="1" applyAlignment="1">
      <alignment horizontal="center"/>
    </xf>
    <xf numFmtId="165" fontId="70" fillId="0" borderId="0" xfId="0" applyNumberFormat="1" applyFont="1"/>
    <xf numFmtId="0" fontId="72" fillId="0" borderId="0" xfId="0" applyFont="1"/>
    <xf numFmtId="0" fontId="73" fillId="0" borderId="0" xfId="0" applyFont="1" applyAlignment="1">
      <alignment horizontal="center"/>
    </xf>
    <xf numFmtId="0" fontId="74" fillId="0" borderId="0" xfId="0" applyFont="1" applyAlignment="1">
      <alignment horizontal="center"/>
    </xf>
    <xf numFmtId="0" fontId="74" fillId="0" borderId="0" xfId="0" applyFont="1"/>
    <xf numFmtId="0" fontId="75" fillId="0" borderId="0" xfId="0" applyFont="1"/>
    <xf numFmtId="15" fontId="74" fillId="0" borderId="0" xfId="0" applyNumberFormat="1" applyFont="1"/>
    <xf numFmtId="1" fontId="74" fillId="0" borderId="0" xfId="0" applyNumberFormat="1" applyFont="1" applyAlignment="1">
      <alignment horizontal="center"/>
    </xf>
    <xf numFmtId="14" fontId="74" fillId="0" borderId="0" xfId="0" applyNumberFormat="1" applyFont="1" applyAlignment="1">
      <alignment horizontal="center"/>
    </xf>
    <xf numFmtId="172" fontId="74" fillId="0" borderId="0" xfId="0" applyNumberFormat="1" applyFont="1"/>
    <xf numFmtId="0" fontId="76" fillId="0" borderId="0" xfId="0" applyFont="1" applyAlignment="1">
      <alignment horizontal="right"/>
    </xf>
    <xf numFmtId="0" fontId="76" fillId="0" borderId="0" xfId="0" applyFont="1" applyAlignment="1">
      <alignment horizontal="center"/>
    </xf>
    <xf numFmtId="0" fontId="77" fillId="0" borderId="0" xfId="0" applyFont="1"/>
    <xf numFmtId="165" fontId="74" fillId="0" borderId="0" xfId="0" applyNumberFormat="1" applyFont="1" applyAlignment="1">
      <alignment horizontal="right"/>
    </xf>
    <xf numFmtId="165" fontId="74" fillId="0" borderId="0" xfId="0" applyNumberFormat="1" applyFont="1"/>
    <xf numFmtId="0" fontId="74" fillId="0" borderId="0" xfId="0" applyFont="1" applyAlignment="1">
      <alignment horizontal="right"/>
    </xf>
    <xf numFmtId="0" fontId="73" fillId="0" borderId="0" xfId="0" applyFont="1"/>
    <xf numFmtId="165" fontId="70" fillId="0" borderId="0" xfId="0" applyNumberFormat="1" applyFont="1" applyAlignment="1">
      <alignment horizontal="center"/>
    </xf>
    <xf numFmtId="43" fontId="74" fillId="0" borderId="0" xfId="0" applyNumberFormat="1" applyFont="1" applyAlignment="1">
      <alignment horizontal="right"/>
    </xf>
    <xf numFmtId="0" fontId="77" fillId="0" borderId="0" xfId="0" applyFont="1" applyAlignment="1">
      <alignment horizontal="right"/>
    </xf>
    <xf numFmtId="165" fontId="77" fillId="0" borderId="0" xfId="0" applyNumberFormat="1" applyFont="1"/>
    <xf numFmtId="165" fontId="75" fillId="0" borderId="0" xfId="0" applyNumberFormat="1" applyFont="1"/>
    <xf numFmtId="0" fontId="74" fillId="0" borderId="0" xfId="0" applyFont="1" applyAlignment="1">
      <alignment horizontal="left"/>
    </xf>
    <xf numFmtId="43" fontId="74" fillId="0" borderId="0" xfId="0" applyNumberFormat="1" applyFont="1"/>
    <xf numFmtId="2" fontId="74" fillId="0" borderId="0" xfId="0" applyNumberFormat="1" applyFont="1"/>
    <xf numFmtId="173" fontId="74" fillId="0" borderId="0" xfId="0" applyNumberFormat="1" applyFont="1"/>
    <xf numFmtId="43" fontId="68" fillId="0" borderId="0" xfId="1" applyFont="1" applyFill="1" applyBorder="1" applyAlignment="1" applyProtection="1"/>
    <xf numFmtId="3" fontId="68" fillId="0" borderId="0" xfId="1" applyNumberFormat="1" applyFont="1" applyAlignment="1" applyProtection="1">
      <alignment horizontal="center"/>
    </xf>
    <xf numFmtId="167" fontId="74" fillId="0" borderId="0" xfId="0" applyNumberFormat="1" applyFont="1"/>
    <xf numFmtId="43" fontId="74" fillId="0" borderId="0" xfId="1" applyFont="1" applyAlignment="1" applyProtection="1"/>
    <xf numFmtId="167" fontId="74" fillId="0" borderId="0" xfId="1" applyNumberFormat="1" applyFont="1" applyAlignment="1" applyProtection="1"/>
    <xf numFmtId="167" fontId="70" fillId="0" borderId="0" xfId="0" applyNumberFormat="1" applyFont="1"/>
    <xf numFmtId="167" fontId="74" fillId="0" borderId="2" xfId="1" applyNumberFormat="1" applyFont="1" applyBorder="1" applyAlignment="1" applyProtection="1"/>
    <xf numFmtId="43" fontId="70" fillId="0" borderId="0" xfId="1" applyFont="1" applyAlignment="1" applyProtection="1"/>
    <xf numFmtId="167" fontId="70" fillId="0" borderId="0" xfId="1" applyNumberFormat="1" applyFont="1" applyBorder="1" applyAlignment="1" applyProtection="1"/>
    <xf numFmtId="43" fontId="75" fillId="0" borderId="10" xfId="1" applyFont="1" applyBorder="1" applyAlignment="1" applyProtection="1"/>
    <xf numFmtId="167" fontId="70" fillId="0" borderId="10" xfId="0" applyNumberFormat="1" applyFont="1" applyBorder="1"/>
    <xf numFmtId="0" fontId="76" fillId="0" borderId="0" xfId="0" applyFont="1"/>
    <xf numFmtId="43" fontId="68" fillId="0" borderId="0" xfId="1" applyFont="1" applyAlignment="1" applyProtection="1"/>
    <xf numFmtId="43" fontId="68" fillId="0" borderId="0" xfId="1" applyFont="1" applyAlignment="1" applyProtection="1">
      <alignment horizontal="center"/>
    </xf>
    <xf numFmtId="4" fontId="74" fillId="0" borderId="0" xfId="0" applyNumberFormat="1" applyFont="1"/>
    <xf numFmtId="167" fontId="74" fillId="0" borderId="0" xfId="0" applyNumberFormat="1" applyFont="1" applyAlignment="1">
      <alignment horizontal="right"/>
    </xf>
    <xf numFmtId="167" fontId="70" fillId="0" borderId="10" xfId="1" applyNumberFormat="1" applyFont="1" applyBorder="1" applyAlignment="1" applyProtection="1"/>
    <xf numFmtId="0" fontId="75" fillId="0" borderId="0" xfId="0" applyFont="1" applyAlignment="1">
      <alignment horizontal="center"/>
    </xf>
    <xf numFmtId="0" fontId="78" fillId="0" borderId="0" xfId="0" applyFont="1" applyAlignment="1">
      <alignment horizontal="center"/>
    </xf>
    <xf numFmtId="0" fontId="78" fillId="0" borderId="0" xfId="0" applyFont="1" applyAlignment="1">
      <alignment horizontal="left"/>
    </xf>
    <xf numFmtId="0" fontId="74" fillId="0" borderId="0" xfId="0" applyFont="1" applyProtection="1">
      <protection locked="0"/>
    </xf>
    <xf numFmtId="0" fontId="75" fillId="0" borderId="0" xfId="0" applyFont="1" applyAlignment="1" applyProtection="1">
      <alignment horizontal="center"/>
      <protection locked="0"/>
    </xf>
    <xf numFmtId="0" fontId="75" fillId="0" borderId="0" xfId="0" applyFont="1" applyAlignment="1" applyProtection="1">
      <alignment horizontal="left"/>
      <protection locked="0"/>
    </xf>
    <xf numFmtId="0" fontId="78" fillId="0" borderId="0" xfId="0" applyFont="1" applyAlignment="1" applyProtection="1">
      <alignment horizontal="center"/>
      <protection locked="0"/>
    </xf>
    <xf numFmtId="0" fontId="75" fillId="0" borderId="0" xfId="0" applyFont="1" applyAlignment="1" applyProtection="1">
      <alignment horizontal="center" vertical="center" wrapText="1"/>
      <protection locked="0"/>
    </xf>
    <xf numFmtId="167" fontId="75" fillId="0" borderId="0" xfId="0" applyNumberFormat="1" applyFont="1" applyAlignment="1" applyProtection="1">
      <alignment horizontal="center" vertical="center" wrapText="1"/>
      <protection locked="0"/>
    </xf>
    <xf numFmtId="167" fontId="77" fillId="0" borderId="0" xfId="1" applyNumberFormat="1" applyFont="1" applyAlignment="1" applyProtection="1">
      <alignment horizontal="right"/>
      <protection locked="0"/>
    </xf>
    <xf numFmtId="172" fontId="77" fillId="0" borderId="0" xfId="0" applyNumberFormat="1" applyFont="1" applyAlignment="1" applyProtection="1">
      <alignment horizontal="center"/>
      <protection locked="0"/>
    </xf>
    <xf numFmtId="167" fontId="77" fillId="0" borderId="10" xfId="1" applyNumberFormat="1" applyFont="1" applyBorder="1" applyAlignment="1" applyProtection="1">
      <alignment horizontal="right"/>
      <protection locked="0"/>
    </xf>
    <xf numFmtId="167" fontId="75" fillId="0" borderId="10" xfId="0" applyNumberFormat="1" applyFont="1" applyBorder="1" applyAlignment="1" applyProtection="1">
      <alignment horizontal="center"/>
      <protection locked="0"/>
    </xf>
    <xf numFmtId="4" fontId="74" fillId="0" borderId="0" xfId="0" applyNumberFormat="1" applyFont="1" applyProtection="1">
      <protection locked="0"/>
    </xf>
    <xf numFmtId="0" fontId="78" fillId="0" borderId="0" xfId="0" applyFont="1" applyProtection="1">
      <protection locked="0"/>
    </xf>
    <xf numFmtId="167" fontId="74" fillId="0" borderId="0" xfId="0" applyNumberFormat="1" applyFont="1" applyProtection="1">
      <protection locked="0"/>
    </xf>
    <xf numFmtId="0" fontId="78" fillId="0" borderId="0" xfId="0" applyFont="1" applyAlignment="1" applyProtection="1">
      <alignment horizontal="left"/>
      <protection locked="0"/>
    </xf>
    <xf numFmtId="0" fontId="74" fillId="2" borderId="0" xfId="0" applyFont="1" applyFill="1" applyAlignment="1">
      <alignment horizontal="center"/>
    </xf>
    <xf numFmtId="0" fontId="77" fillId="2" borderId="0" xfId="0" applyFont="1" applyFill="1" applyAlignment="1">
      <alignment horizontal="center"/>
    </xf>
    <xf numFmtId="3" fontId="74" fillId="2" borderId="0" xfId="0" applyNumberFormat="1" applyFont="1" applyFill="1" applyAlignment="1">
      <alignment horizontal="center"/>
    </xf>
    <xf numFmtId="169" fontId="74" fillId="2" borderId="0" xfId="0" applyNumberFormat="1" applyFont="1" applyFill="1" applyAlignment="1">
      <alignment horizontal="center"/>
    </xf>
    <xf numFmtId="3" fontId="68" fillId="2" borderId="0" xfId="0" applyNumberFormat="1" applyFont="1" applyFill="1" applyAlignment="1">
      <alignment horizontal="center"/>
    </xf>
    <xf numFmtId="167" fontId="77" fillId="2" borderId="0" xfId="0" applyNumberFormat="1" applyFont="1" applyFill="1" applyAlignment="1">
      <alignment horizontal="center"/>
    </xf>
    <xf numFmtId="167" fontId="75" fillId="2" borderId="0" xfId="0" applyNumberFormat="1" applyFont="1" applyFill="1" applyAlignment="1">
      <alignment horizontal="center"/>
    </xf>
    <xf numFmtId="167" fontId="77" fillId="2" borderId="0" xfId="0" applyNumberFormat="1" applyFont="1" applyFill="1" applyAlignment="1" applyProtection="1">
      <alignment horizontal="center"/>
      <protection locked="0"/>
    </xf>
    <xf numFmtId="0" fontId="75" fillId="2" borderId="0" xfId="0" applyFont="1" applyFill="1" applyAlignment="1" applyProtection="1">
      <alignment horizontal="center" vertical="center" wrapText="1"/>
      <protection locked="0"/>
    </xf>
    <xf numFmtId="0" fontId="70" fillId="2" borderId="0" xfId="0" applyFont="1" applyFill="1" applyProtection="1">
      <protection locked="0"/>
    </xf>
    <xf numFmtId="167" fontId="75" fillId="2" borderId="0" xfId="0" applyNumberFormat="1" applyFont="1" applyFill="1" applyAlignment="1" applyProtection="1">
      <alignment horizontal="center"/>
      <protection locked="0"/>
    </xf>
    <xf numFmtId="1" fontId="74" fillId="2" borderId="1" xfId="1" applyNumberFormat="1" applyFont="1" applyFill="1" applyBorder="1" applyAlignment="1" applyProtection="1">
      <alignment horizontal="center"/>
    </xf>
    <xf numFmtId="1" fontId="74" fillId="2" borderId="0" xfId="1" applyNumberFormat="1" applyFont="1" applyFill="1" applyBorder="1" applyAlignment="1" applyProtection="1">
      <alignment horizontal="center"/>
    </xf>
    <xf numFmtId="1" fontId="79" fillId="3" borderId="15" xfId="1" applyNumberFormat="1" applyFont="1" applyFill="1" applyBorder="1" applyAlignment="1" applyProtection="1"/>
    <xf numFmtId="43" fontId="6" fillId="4" borderId="0" xfId="1" applyFont="1" applyFill="1" applyBorder="1" applyAlignment="1" applyProtection="1">
      <alignment horizontal="center"/>
      <protection locked="0"/>
    </xf>
    <xf numFmtId="0" fontId="0" fillId="0" borderId="0" xfId="0" applyAlignment="1">
      <alignment horizontal="left"/>
    </xf>
    <xf numFmtId="0" fontId="0" fillId="0" borderId="0" xfId="0" applyAlignment="1">
      <alignment horizontal="left" indent="12"/>
    </xf>
    <xf numFmtId="1" fontId="44" fillId="3" borderId="16" xfId="1" applyNumberFormat="1" applyFont="1" applyFill="1" applyBorder="1" applyAlignment="1" applyProtection="1">
      <alignment horizontal="left"/>
    </xf>
    <xf numFmtId="1" fontId="58" fillId="3" borderId="15" xfId="1" applyNumberFormat="1" applyFont="1" applyFill="1" applyBorder="1" applyAlignment="1" applyProtection="1">
      <alignment horizontal="center"/>
    </xf>
    <xf numFmtId="1" fontId="58" fillId="3" borderId="0" xfId="1" applyNumberFormat="1" applyFont="1" applyFill="1" applyAlignment="1" applyProtection="1">
      <alignment horizontal="center"/>
    </xf>
    <xf numFmtId="43" fontId="58" fillId="3" borderId="0" xfId="1" applyFont="1" applyFill="1" applyBorder="1" applyAlignment="1" applyProtection="1"/>
    <xf numFmtId="43" fontId="58" fillId="3" borderId="0" xfId="1" applyFont="1" applyFill="1" applyBorder="1" applyAlignment="1" applyProtection="1">
      <alignment horizontal="center"/>
    </xf>
    <xf numFmtId="3" fontId="56" fillId="3" borderId="0" xfId="0" applyNumberFormat="1" applyFont="1" applyFill="1" applyAlignment="1">
      <alignment horizontal="center"/>
    </xf>
    <xf numFmtId="43" fontId="1" fillId="0" borderId="0" xfId="1" applyFont="1" applyAlignment="1" applyProtection="1">
      <alignment horizontal="left" indent="11"/>
    </xf>
    <xf numFmtId="43" fontId="1" fillId="0" borderId="11" xfId="1" applyFont="1" applyBorder="1" applyAlignment="1" applyProtection="1">
      <alignment horizontal="left" indent="11"/>
    </xf>
    <xf numFmtId="43" fontId="1" fillId="0" borderId="0" xfId="1" applyFont="1" applyBorder="1" applyAlignment="1" applyProtection="1">
      <alignment horizontal="left" indent="11"/>
    </xf>
    <xf numFmtId="1" fontId="74" fillId="0" borderId="0" xfId="1" applyNumberFormat="1" applyFont="1" applyFill="1" applyBorder="1" applyAlignment="1" applyProtection="1">
      <alignment horizontal="center"/>
    </xf>
    <xf numFmtId="1" fontId="81" fillId="3" borderId="0" xfId="1" applyNumberFormat="1" applyFont="1" applyFill="1" applyBorder="1" applyAlignment="1" applyProtection="1">
      <alignment horizontal="center"/>
    </xf>
    <xf numFmtId="43" fontId="82" fillId="3" borderId="0" xfId="1" applyFont="1" applyFill="1" applyAlignment="1" applyProtection="1"/>
    <xf numFmtId="167" fontId="81" fillId="3" borderId="0" xfId="1" applyNumberFormat="1" applyFont="1" applyFill="1" applyAlignment="1" applyProtection="1">
      <alignment horizontal="center"/>
    </xf>
    <xf numFmtId="0" fontId="81" fillId="3" borderId="0" xfId="0" applyFont="1" applyFill="1" applyAlignment="1">
      <alignment horizontal="center"/>
    </xf>
    <xf numFmtId="167" fontId="83" fillId="3" borderId="0" xfId="0" applyNumberFormat="1" applyFont="1" applyFill="1" applyAlignment="1">
      <alignment horizontal="center"/>
    </xf>
    <xf numFmtId="1" fontId="58" fillId="3" borderId="0" xfId="0" applyNumberFormat="1" applyFont="1" applyFill="1" applyProtection="1">
      <protection locked="0"/>
    </xf>
    <xf numFmtId="164" fontId="9" fillId="0" borderId="0" xfId="1" applyNumberFormat="1" applyFont="1" applyFill="1" applyBorder="1" applyAlignment="1" applyProtection="1">
      <alignment horizontal="left"/>
    </xf>
    <xf numFmtId="164" fontId="14" fillId="0" borderId="0" xfId="1" applyNumberFormat="1" applyFont="1" applyFill="1" applyBorder="1" applyAlignment="1" applyProtection="1">
      <alignment horizontal="left"/>
    </xf>
    <xf numFmtId="1" fontId="74" fillId="0" borderId="0" xfId="0" applyNumberFormat="1" applyFont="1" applyAlignment="1">
      <alignment horizontal="left"/>
    </xf>
    <xf numFmtId="1" fontId="85" fillId="2" borderId="15" xfId="1" applyNumberFormat="1" applyFont="1" applyFill="1" applyBorder="1" applyAlignment="1" applyProtection="1">
      <alignment horizontal="center"/>
    </xf>
    <xf numFmtId="0" fontId="19" fillId="0" borderId="0" xfId="0" applyFont="1" applyAlignment="1">
      <alignment horizontal="left"/>
    </xf>
    <xf numFmtId="0" fontId="84" fillId="0" borderId="0" xfId="0" applyFont="1" applyAlignment="1">
      <alignment horizontal="left" vertical="center" wrapText="1"/>
    </xf>
    <xf numFmtId="167" fontId="80" fillId="0" borderId="0" xfId="1" applyNumberFormat="1" applyFont="1" applyBorder="1" applyAlignment="1" applyProtection="1">
      <alignment horizontal="center"/>
    </xf>
    <xf numFmtId="0" fontId="86" fillId="0" borderId="0" xfId="0" applyFont="1"/>
    <xf numFmtId="164" fontId="86" fillId="0" borderId="0" xfId="1" applyNumberFormat="1" applyFont="1" applyBorder="1" applyAlignment="1" applyProtection="1">
      <alignment horizontal="center"/>
    </xf>
    <xf numFmtId="164" fontId="86" fillId="0" borderId="0" xfId="0" applyNumberFormat="1" applyFont="1"/>
    <xf numFmtId="164" fontId="64" fillId="5" borderId="0" xfId="0" applyNumberFormat="1" applyFont="1" applyFill="1"/>
    <xf numFmtId="43" fontId="74" fillId="0" borderId="0" xfId="1" applyFont="1" applyAlignment="1" applyProtection="1">
      <alignment horizontal="left"/>
    </xf>
    <xf numFmtId="167" fontId="19" fillId="0" borderId="0" xfId="0" applyNumberFormat="1" applyFont="1" applyAlignment="1">
      <alignment horizontal="center"/>
    </xf>
    <xf numFmtId="0" fontId="19" fillId="3" borderId="0" xfId="0" applyFont="1" applyFill="1" applyAlignment="1" applyProtection="1">
      <alignment horizontal="left" vertical="center" wrapText="1" indent="11"/>
      <protection locked="0"/>
    </xf>
    <xf numFmtId="167" fontId="56" fillId="3" borderId="0" xfId="0" applyNumberFormat="1" applyFont="1" applyFill="1" applyAlignment="1" applyProtection="1">
      <alignment horizontal="center" vertical="center" wrapText="1"/>
      <protection locked="0"/>
    </xf>
    <xf numFmtId="0" fontId="62" fillId="0" borderId="0" xfId="0" applyFont="1" applyAlignment="1">
      <alignment horizontal="center"/>
    </xf>
    <xf numFmtId="167" fontId="87" fillId="2" borderId="0" xfId="0" applyNumberFormat="1" applyFont="1" applyFill="1" applyAlignment="1">
      <alignment horizontal="center"/>
    </xf>
    <xf numFmtId="43" fontId="74" fillId="0" borderId="10" xfId="1" applyFont="1" applyBorder="1" applyAlignment="1" applyProtection="1"/>
    <xf numFmtId="167" fontId="74" fillId="0" borderId="10" xfId="0" applyNumberFormat="1" applyFont="1" applyBorder="1"/>
    <xf numFmtId="43" fontId="12" fillId="0" borderId="0" xfId="1" applyFont="1" applyBorder="1" applyAlignment="1" applyProtection="1">
      <alignment horizontal="left" indent="11"/>
    </xf>
    <xf numFmtId="43" fontId="4" fillId="0" borderId="10" xfId="1" applyFont="1" applyBorder="1" applyAlignment="1" applyProtection="1">
      <alignment horizontal="left" indent="11"/>
    </xf>
    <xf numFmtId="43" fontId="88" fillId="0" borderId="0" xfId="1" applyFont="1" applyBorder="1" applyAlignment="1" applyProtection="1">
      <alignment horizontal="left" indent="11"/>
    </xf>
    <xf numFmtId="165" fontId="88" fillId="0" borderId="0" xfId="1" applyNumberFormat="1" applyFont="1" applyBorder="1" applyAlignment="1" applyProtection="1">
      <alignment horizontal="right"/>
    </xf>
    <xf numFmtId="165" fontId="12" fillId="0" borderId="0" xfId="1" applyNumberFormat="1" applyFont="1" applyBorder="1" applyAlignment="1" applyProtection="1">
      <alignment horizontal="right"/>
    </xf>
    <xf numFmtId="165" fontId="4" fillId="0" borderId="10" xfId="1" applyNumberFormat="1" applyFont="1" applyBorder="1" applyAlignment="1" applyProtection="1">
      <alignment horizontal="right"/>
    </xf>
    <xf numFmtId="3" fontId="1" fillId="0" borderId="0" xfId="1" applyNumberFormat="1" applyFont="1" applyAlignment="1" applyProtection="1">
      <alignment horizontal="right"/>
    </xf>
    <xf numFmtId="3" fontId="1" fillId="0" borderId="11" xfId="1" applyNumberFormat="1" applyFont="1" applyBorder="1" applyAlignment="1" applyProtection="1">
      <alignment horizontal="right"/>
    </xf>
    <xf numFmtId="3" fontId="1" fillId="0" borderId="18" xfId="1" applyNumberFormat="1" applyFont="1" applyBorder="1" applyAlignment="1" applyProtection="1">
      <alignment horizontal="right"/>
    </xf>
    <xf numFmtId="43" fontId="2" fillId="0" borderId="0" xfId="1" applyFont="1" applyBorder="1" applyAlignment="1" applyProtection="1">
      <alignment horizontal="left" indent="11"/>
    </xf>
    <xf numFmtId="3" fontId="2" fillId="0" borderId="0" xfId="1" applyNumberFormat="1" applyFont="1" applyBorder="1" applyAlignment="1" applyProtection="1">
      <alignment horizontal="right"/>
    </xf>
    <xf numFmtId="164" fontId="12" fillId="4" borderId="0" xfId="1" applyNumberFormat="1" applyFont="1" applyFill="1" applyBorder="1" applyAlignment="1" applyProtection="1">
      <alignment horizontal="center"/>
    </xf>
    <xf numFmtId="167" fontId="20" fillId="0" borderId="0" xfId="0" applyNumberFormat="1" applyFont="1" applyAlignment="1">
      <alignment horizontal="center"/>
    </xf>
    <xf numFmtId="166" fontId="80" fillId="0" borderId="0" xfId="1" applyNumberFormat="1" applyFont="1" applyBorder="1" applyAlignment="1" applyProtection="1">
      <alignment horizontal="center"/>
    </xf>
    <xf numFmtId="0" fontId="2" fillId="0" borderId="0" xfId="0" applyFont="1" applyAlignment="1">
      <alignment horizontal="left"/>
    </xf>
    <xf numFmtId="167" fontId="77" fillId="0" borderId="0" xfId="0" applyNumberFormat="1" applyFont="1" applyAlignment="1">
      <alignment horizontal="center"/>
    </xf>
    <xf numFmtId="0" fontId="62" fillId="0" borderId="0" xfId="0" applyFont="1" applyAlignment="1">
      <alignment horizontal="left"/>
    </xf>
    <xf numFmtId="165" fontId="0" fillId="0" borderId="0" xfId="1" applyNumberFormat="1" applyFont="1" applyAlignment="1" applyProtection="1">
      <alignment horizontal="center"/>
    </xf>
    <xf numFmtId="165" fontId="2" fillId="0" borderId="10" xfId="1" applyNumberFormat="1" applyFont="1" applyBorder="1" applyAlignment="1" applyProtection="1">
      <alignment horizontal="center"/>
    </xf>
    <xf numFmtId="165" fontId="29" fillId="4" borderId="0" xfId="0" applyNumberFormat="1" applyFont="1" applyFill="1" applyAlignment="1" applyProtection="1">
      <alignment horizontal="center"/>
      <protection locked="0"/>
    </xf>
    <xf numFmtId="165" fontId="7" fillId="0" borderId="0" xfId="0" applyNumberFormat="1" applyFont="1" applyAlignment="1" applyProtection="1">
      <alignment horizontal="center"/>
      <protection locked="0"/>
    </xf>
    <xf numFmtId="165" fontId="9" fillId="0" borderId="10" xfId="0" applyNumberFormat="1" applyFont="1" applyBorder="1" applyAlignment="1" applyProtection="1">
      <alignment horizontal="center"/>
      <protection locked="0"/>
    </xf>
    <xf numFmtId="165" fontId="7" fillId="0" borderId="15" xfId="1" applyNumberFormat="1" applyFont="1" applyBorder="1" applyAlignment="1" applyProtection="1">
      <alignment horizontal="right"/>
      <protection locked="0"/>
    </xf>
    <xf numFmtId="165" fontId="74" fillId="0" borderId="0" xfId="0" applyNumberFormat="1" applyFont="1" applyAlignment="1">
      <alignment horizontal="center"/>
    </xf>
    <xf numFmtId="1" fontId="58" fillId="3" borderId="15" xfId="0" applyNumberFormat="1" applyFont="1" applyFill="1" applyBorder="1" applyAlignment="1" applyProtection="1">
      <alignment horizontal="center"/>
      <protection locked="0"/>
    </xf>
    <xf numFmtId="1" fontId="68" fillId="0" borderId="0" xfId="0" applyNumberFormat="1" applyFont="1" applyAlignment="1">
      <alignment horizontal="left"/>
    </xf>
    <xf numFmtId="0" fontId="89" fillId="0" borderId="0" xfId="0" applyFont="1" applyProtection="1">
      <protection locked="0"/>
    </xf>
    <xf numFmtId="1" fontId="90" fillId="2" borderId="0" xfId="1" applyNumberFormat="1" applyFont="1" applyFill="1" applyBorder="1" applyAlignment="1" applyProtection="1">
      <alignment horizontal="center"/>
    </xf>
    <xf numFmtId="165" fontId="0" fillId="0" borderId="0" xfId="0" applyNumberFormat="1" applyAlignment="1" applyProtection="1">
      <alignment horizontal="center"/>
      <protection locked="0"/>
    </xf>
    <xf numFmtId="0" fontId="80" fillId="0" borderId="0" xfId="0" applyFont="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80" fillId="0" borderId="0" xfId="0" applyFont="1" applyAlignment="1">
      <alignment horizontal="center" vertical="top" wrapText="1"/>
    </xf>
    <xf numFmtId="0" fontId="0" fillId="0" borderId="0" xfId="0" applyAlignment="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15" fillId="0" borderId="0" xfId="2" quotePrefix="1" applyNumberFormat="1" applyAlignment="1" applyProtection="1">
      <alignment horizontal="center"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15" fillId="0" borderId="24" xfId="2" quotePrefix="1" applyNumberFormat="1" applyBorder="1" applyAlignment="1" applyProtection="1">
      <alignment horizontal="center" vertical="top" wrapText="1"/>
    </xf>
    <xf numFmtId="0" fontId="0" fillId="0" borderId="26" xfId="0" applyBorder="1" applyAlignment="1">
      <alignment horizontal="center" vertical="top" wrapText="1"/>
    </xf>
  </cellXfs>
  <cellStyles count="3">
    <cellStyle name="Comma" xfId="1" builtinId="3"/>
    <cellStyle name="Hyperlink" xfId="2" builtinId="8"/>
    <cellStyle name="Normal" xfId="0" builtinId="0"/>
  </cellStyles>
  <dxfs count="7">
    <dxf>
      <font>
        <strike val="0"/>
        <outline val="0"/>
        <shadow val="0"/>
        <vertAlign val="baseline"/>
        <color indexed="10"/>
        <name val="Arial"/>
        <scheme val="none"/>
      </font>
    </dxf>
    <dxf>
      <font>
        <strike val="0"/>
        <outline val="0"/>
        <shadow val="0"/>
        <vertAlign val="baseline"/>
        <color indexed="10"/>
        <name val="Arial"/>
        <scheme val="none"/>
      </font>
    </dxf>
    <dxf>
      <font>
        <b/>
        <i val="0"/>
        <strike val="0"/>
        <condense val="0"/>
        <extend val="0"/>
        <outline val="0"/>
        <shadow val="0"/>
        <u val="none"/>
        <vertAlign val="baseline"/>
        <sz val="10"/>
        <color indexed="10"/>
        <name val="Arial"/>
        <scheme val="none"/>
      </font>
      <protection locked="1" hidden="0"/>
    </dxf>
    <dxf>
      <fill>
        <patternFill>
          <bgColor indexed="10"/>
        </patternFill>
      </fill>
    </dxf>
    <dxf>
      <fill>
        <patternFill>
          <bgColor indexed="8"/>
        </patternFill>
      </fill>
    </dxf>
    <dxf>
      <fill>
        <patternFill>
          <bgColor indexed="8"/>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142240</xdr:colOff>
      <xdr:row>0</xdr:row>
      <xdr:rowOff>223520</xdr:rowOff>
    </xdr:from>
    <xdr:to>
      <xdr:col>2</xdr:col>
      <xdr:colOff>1569720</xdr:colOff>
      <xdr:row>9</xdr:row>
      <xdr:rowOff>56679</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 y="223520"/>
          <a:ext cx="3591560" cy="1661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979170</xdr:colOff>
      <xdr:row>44</xdr:row>
      <xdr:rowOff>199390</xdr:rowOff>
    </xdr:from>
    <xdr:to>
      <xdr:col>2</xdr:col>
      <xdr:colOff>4219385</xdr:colOff>
      <xdr:row>44</xdr:row>
      <xdr:rowOff>199390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2133600" y="7993380"/>
          <a:ext cx="4259580" cy="9982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sng" strike="noStrike" baseline="0">
              <a:solidFill>
                <a:srgbClr val="000000"/>
              </a:solidFill>
              <a:latin typeface="Arial"/>
              <a:cs typeface="Arial"/>
            </a:rPr>
            <a:t>These are the maximum estimated figures</a:t>
          </a: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2802255</xdr:colOff>
      <xdr:row>36</xdr:row>
      <xdr:rowOff>0</xdr:rowOff>
    </xdr:from>
    <xdr:to>
      <xdr:col>6</xdr:col>
      <xdr:colOff>4773726</xdr:colOff>
      <xdr:row>41</xdr:row>
      <xdr:rowOff>76200</xdr:rowOff>
    </xdr:to>
    <xdr:sp macro="" textlink="">
      <xdr:nvSpPr>
        <xdr:cNvPr id="13326" name="Text Box 14">
          <a:extLst>
            <a:ext uri="{FF2B5EF4-FFF2-40B4-BE49-F238E27FC236}">
              <a16:creationId xmlns:a16="http://schemas.microsoft.com/office/drawing/2014/main" id="{00000000-0008-0000-0200-00000E340000}"/>
            </a:ext>
          </a:extLst>
        </xdr:cNvPr>
        <xdr:cNvSpPr txBox="1">
          <a:spLocks noChangeArrowheads="1"/>
        </xdr:cNvSpPr>
      </xdr:nvSpPr>
      <xdr:spPr bwMode="auto">
        <a:xfrm>
          <a:off x="10683240" y="6225540"/>
          <a:ext cx="1958340" cy="914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32004" rIns="0" bIns="0" anchor="t" upright="1"/>
        <a:lstStyle/>
        <a:p>
          <a:pPr algn="l" rtl="0">
            <a:defRPr sz="1000"/>
          </a:pPr>
          <a:r>
            <a:rPr lang="en-GB" sz="1400" b="1" i="0" u="none" strike="noStrike" baseline="0">
              <a:solidFill>
                <a:srgbClr val="FF0000"/>
              </a:solidFill>
              <a:latin typeface="Arial"/>
              <a:cs typeface="Arial"/>
            </a:rPr>
            <a:t>If you don't like my rate and want to use another then put it in cell I44 -red box</a:t>
          </a:r>
        </a:p>
      </xdr:txBody>
    </xdr:sp>
    <xdr:clientData/>
  </xdr:twoCellAnchor>
  <xdr:twoCellAnchor>
    <xdr:from>
      <xdr:col>6</xdr:col>
      <xdr:colOff>4777740</xdr:colOff>
      <xdr:row>41</xdr:row>
      <xdr:rowOff>68580</xdr:rowOff>
    </xdr:from>
    <xdr:to>
      <xdr:col>7</xdr:col>
      <xdr:colOff>960120</xdr:colOff>
      <xdr:row>42</xdr:row>
      <xdr:rowOff>114300</xdr:rowOff>
    </xdr:to>
    <xdr:sp macro="" textlink="">
      <xdr:nvSpPr>
        <xdr:cNvPr id="5134" name="Line 16">
          <a:extLst>
            <a:ext uri="{FF2B5EF4-FFF2-40B4-BE49-F238E27FC236}">
              <a16:creationId xmlns:a16="http://schemas.microsoft.com/office/drawing/2014/main" id="{00000000-0008-0000-0200-00000E140000}"/>
            </a:ext>
          </a:extLst>
        </xdr:cNvPr>
        <xdr:cNvSpPr>
          <a:spLocks noChangeShapeType="1"/>
        </xdr:cNvSpPr>
      </xdr:nvSpPr>
      <xdr:spPr bwMode="auto">
        <a:xfrm>
          <a:off x="12649200" y="7132320"/>
          <a:ext cx="1165860" cy="213360"/>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556261</xdr:colOff>
      <xdr:row>50</xdr:row>
      <xdr:rowOff>49634</xdr:rowOff>
    </xdr:from>
    <xdr:to>
      <xdr:col>1</xdr:col>
      <xdr:colOff>3627121</xdr:colOff>
      <xdr:row>57</xdr:row>
      <xdr:rowOff>80916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567941" y="9902294"/>
          <a:ext cx="3070860" cy="1418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274320</xdr:colOff>
      <xdr:row>42</xdr:row>
      <xdr:rowOff>60960</xdr:rowOff>
    </xdr:from>
    <xdr:to>
      <xdr:col>1</xdr:col>
      <xdr:colOff>3865175</xdr:colOff>
      <xdr:row>50</xdr:row>
      <xdr:rowOff>124096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286000" y="8463280"/>
          <a:ext cx="3590855" cy="16582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8:G10" totalsRowShown="0" headerRowDxfId="2" dataDxfId="1">
  <autoFilter ref="G8:G10" xr:uid="{00000000-0009-0000-0100-000001000000}"/>
  <tableColumns count="1">
    <tableColumn id="1" xr3:uid="{00000000-0010-0000-0000-000001000000}"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afsa.ed.gov/FAFSA/app/schoolSearch?locale=en_EN"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36"/>
  <sheetViews>
    <sheetView workbookViewId="0">
      <selection activeCell="A14" sqref="A14"/>
    </sheetView>
  </sheetViews>
  <sheetFormatPr defaultRowHeight="13.2" x14ac:dyDescent="0.25"/>
  <cols>
    <col min="1" max="1" width="122.88671875" style="85" bestFit="1" customWidth="1"/>
  </cols>
  <sheetData>
    <row r="1" spans="1:1" s="58" customFormat="1" ht="17.399999999999999" x14ac:dyDescent="0.3">
      <c r="A1" s="88" t="s">
        <v>147</v>
      </c>
    </row>
    <row r="2" spans="1:1" s="58" customFormat="1" ht="17.399999999999999" x14ac:dyDescent="0.3">
      <c r="A2" s="88"/>
    </row>
    <row r="3" spans="1:1" ht="15.6" x14ac:dyDescent="0.3">
      <c r="A3" s="86" t="s">
        <v>137</v>
      </c>
    </row>
    <row r="4" spans="1:1" x14ac:dyDescent="0.25">
      <c r="A4" s="89" t="s">
        <v>127</v>
      </c>
    </row>
    <row r="5" spans="1:1" x14ac:dyDescent="0.25">
      <c r="A5" s="89" t="s">
        <v>128</v>
      </c>
    </row>
    <row r="6" spans="1:1" x14ac:dyDescent="0.25">
      <c r="A6" s="90" t="s">
        <v>131</v>
      </c>
    </row>
    <row r="8" spans="1:1" ht="15.6" x14ac:dyDescent="0.3">
      <c r="A8" s="91" t="s">
        <v>130</v>
      </c>
    </row>
    <row r="9" spans="1:1" x14ac:dyDescent="0.25">
      <c r="A9" s="89" t="s">
        <v>129</v>
      </c>
    </row>
    <row r="10" spans="1:1" x14ac:dyDescent="0.25">
      <c r="A10" s="89" t="s">
        <v>268</v>
      </c>
    </row>
    <row r="11" spans="1:1" x14ac:dyDescent="0.25">
      <c r="A11" s="89" t="s">
        <v>269</v>
      </c>
    </row>
    <row r="12" spans="1:1" x14ac:dyDescent="0.25">
      <c r="A12" s="89"/>
    </row>
    <row r="13" spans="1:1" s="49" customFormat="1" ht="15.6" x14ac:dyDescent="0.3">
      <c r="A13" s="86" t="s">
        <v>323</v>
      </c>
    </row>
    <row r="14" spans="1:1" s="49" customFormat="1" ht="15.6" x14ac:dyDescent="0.3">
      <c r="A14" s="177" t="s">
        <v>349</v>
      </c>
    </row>
    <row r="15" spans="1:1" x14ac:dyDescent="0.25">
      <c r="A15" s="85" t="s">
        <v>165</v>
      </c>
    </row>
    <row r="16" spans="1:1" x14ac:dyDescent="0.25">
      <c r="A16" s="89" t="s">
        <v>169</v>
      </c>
    </row>
    <row r="17" spans="1:1" x14ac:dyDescent="0.25">
      <c r="A17" s="89" t="s">
        <v>271</v>
      </c>
    </row>
    <row r="18" spans="1:1" x14ac:dyDescent="0.25">
      <c r="A18" s="89" t="s">
        <v>267</v>
      </c>
    </row>
    <row r="19" spans="1:1" x14ac:dyDescent="0.25">
      <c r="A19" s="89" t="s">
        <v>168</v>
      </c>
    </row>
    <row r="20" spans="1:1" x14ac:dyDescent="0.25">
      <c r="A20" s="89" t="s">
        <v>132</v>
      </c>
    </row>
    <row r="21" spans="1:1" x14ac:dyDescent="0.25">
      <c r="A21" s="89" t="s">
        <v>133</v>
      </c>
    </row>
    <row r="22" spans="1:1" x14ac:dyDescent="0.25">
      <c r="A22" s="89" t="s">
        <v>173</v>
      </c>
    </row>
    <row r="24" spans="1:1" s="49" customFormat="1" ht="15.6" x14ac:dyDescent="0.3">
      <c r="A24" s="86" t="s">
        <v>261</v>
      </c>
    </row>
    <row r="25" spans="1:1" x14ac:dyDescent="0.25">
      <c r="A25" s="85" t="s">
        <v>262</v>
      </c>
    </row>
    <row r="26" spans="1:1" x14ac:dyDescent="0.25">
      <c r="A26" s="89" t="s">
        <v>263</v>
      </c>
    </row>
    <row r="27" spans="1:1" x14ac:dyDescent="0.25">
      <c r="A27" s="90" t="s">
        <v>264</v>
      </c>
    </row>
    <row r="29" spans="1:1" s="49" customFormat="1" ht="15.6" x14ac:dyDescent="0.3">
      <c r="A29" s="86" t="s">
        <v>266</v>
      </c>
    </row>
    <row r="30" spans="1:1" s="59" customFormat="1" x14ac:dyDescent="0.25">
      <c r="A30" s="89" t="s">
        <v>270</v>
      </c>
    </row>
    <row r="31" spans="1:1" x14ac:dyDescent="0.25">
      <c r="A31" s="89" t="s">
        <v>307</v>
      </c>
    </row>
    <row r="32" spans="1:1" s="59" customFormat="1" x14ac:dyDescent="0.25">
      <c r="A32" s="84"/>
    </row>
    <row r="33" spans="1:1" x14ac:dyDescent="0.25">
      <c r="A33" s="87" t="s">
        <v>265</v>
      </c>
    </row>
    <row r="34" spans="1:1" x14ac:dyDescent="0.25">
      <c r="A34" s="92" t="s">
        <v>154</v>
      </c>
    </row>
    <row r="35" spans="1:1" x14ac:dyDescent="0.25">
      <c r="A35" s="161" t="s">
        <v>308</v>
      </c>
    </row>
    <row r="36" spans="1:1" ht="15.6" x14ac:dyDescent="0.3">
      <c r="A36" s="162" t="s">
        <v>309</v>
      </c>
    </row>
  </sheetData>
  <sheetProtection selectLockedCells="1" selectUnlockedCells="1"/>
  <phoneticPr fontId="5" type="noConversion"/>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107"/>
  <sheetViews>
    <sheetView tabSelected="1" zoomScale="75" workbookViewId="0">
      <selection activeCell="D7" sqref="D7"/>
    </sheetView>
  </sheetViews>
  <sheetFormatPr defaultColWidth="9.109375" defaultRowHeight="13.2" x14ac:dyDescent="0.25"/>
  <cols>
    <col min="1" max="1" width="16.88671875" style="34" customWidth="1"/>
    <col min="2" max="2" width="14.6640625" style="34" customWidth="1"/>
    <col min="3" max="3" width="99.6640625" customWidth="1"/>
    <col min="4" max="4" width="31.88671875" style="16" customWidth="1"/>
    <col min="5" max="5" width="21.44140625" style="16" customWidth="1"/>
    <col min="6" max="6" width="11.88671875" style="261" customWidth="1"/>
    <col min="7" max="7" width="45.33203125" style="262" hidden="1" customWidth="1"/>
    <col min="8" max="8" width="62.33203125" style="262" hidden="1" customWidth="1"/>
    <col min="9" max="9" width="18.5546875" style="262" hidden="1" customWidth="1"/>
    <col min="10" max="10" width="20.88671875" style="262" hidden="1" customWidth="1"/>
    <col min="11" max="11" width="15.88671875" style="262" hidden="1" customWidth="1"/>
    <col min="12" max="12" width="20.5546875" style="262" hidden="1" customWidth="1"/>
    <col min="13" max="13" width="20.109375" style="262" hidden="1" customWidth="1"/>
    <col min="14" max="14" width="16.109375" style="262" hidden="1" customWidth="1"/>
    <col min="15" max="15" width="12" style="262" hidden="1" customWidth="1"/>
    <col min="16" max="16" width="7.5546875" style="262" customWidth="1"/>
    <col min="17" max="17" width="7.6640625" style="262" customWidth="1"/>
    <col min="18" max="18" width="5.44140625" style="262" customWidth="1"/>
    <col min="19" max="19" width="7.5546875" style="192" customWidth="1"/>
    <col min="20" max="24" width="9.109375" style="192"/>
  </cols>
  <sheetData>
    <row r="1" spans="1:24" s="157" customFormat="1" ht="21" x14ac:dyDescent="0.4">
      <c r="A1" s="2"/>
      <c r="B1" s="2"/>
      <c r="D1" s="4"/>
      <c r="E1" s="5"/>
      <c r="F1" s="251"/>
      <c r="G1" s="252"/>
      <c r="H1" s="252"/>
      <c r="I1" s="252"/>
      <c r="J1" s="252"/>
      <c r="K1" s="252"/>
      <c r="L1" s="253"/>
      <c r="M1" s="253"/>
      <c r="N1" s="253"/>
      <c r="O1" s="253"/>
      <c r="P1" s="253"/>
      <c r="Q1" s="253"/>
      <c r="R1" s="253"/>
      <c r="S1" s="190"/>
      <c r="T1" s="190"/>
      <c r="U1" s="190"/>
      <c r="V1" s="190"/>
      <c r="W1" s="190"/>
      <c r="X1" s="190"/>
    </row>
    <row r="2" spans="1:24" s="157" customFormat="1" ht="18" customHeight="1" x14ac:dyDescent="0.4">
      <c r="A2" s="2"/>
      <c r="B2" s="2"/>
      <c r="C2" s="3" t="s">
        <v>23</v>
      </c>
      <c r="D2" s="4"/>
      <c r="E2" s="5"/>
      <c r="F2" s="251"/>
      <c r="G2" s="253"/>
      <c r="H2" s="252"/>
      <c r="I2" s="252"/>
      <c r="J2" s="253"/>
      <c r="K2" s="253"/>
      <c r="L2" s="253"/>
      <c r="M2" s="253"/>
      <c r="N2" s="253"/>
      <c r="O2" s="253"/>
      <c r="P2" s="253"/>
      <c r="Q2" s="253"/>
      <c r="R2" s="253"/>
      <c r="S2" s="190"/>
      <c r="T2" s="190"/>
      <c r="U2" s="190"/>
      <c r="V2" s="190"/>
      <c r="W2" s="190"/>
      <c r="X2" s="190"/>
    </row>
    <row r="3" spans="1:24" s="104" customFormat="1" ht="18" customHeight="1" x14ac:dyDescent="0.4">
      <c r="A3" s="6"/>
      <c r="B3" s="6"/>
      <c r="C3" s="3" t="s">
        <v>24</v>
      </c>
      <c r="D3" s="8"/>
      <c r="E3" s="9"/>
      <c r="F3" s="254"/>
      <c r="G3" s="255"/>
      <c r="H3" s="256"/>
      <c r="I3" s="256"/>
      <c r="J3" s="255"/>
      <c r="K3" s="255"/>
      <c r="L3" s="255"/>
      <c r="M3" s="255"/>
      <c r="N3" s="255"/>
      <c r="O3" s="255"/>
      <c r="P3" s="255"/>
      <c r="Q3" s="255"/>
      <c r="R3" s="255"/>
      <c r="S3" s="191"/>
      <c r="T3" s="191"/>
      <c r="U3" s="191"/>
      <c r="V3" s="191"/>
      <c r="W3" s="191"/>
      <c r="X3" s="191"/>
    </row>
    <row r="4" spans="1:24" s="104" customFormat="1" ht="18" customHeight="1" x14ac:dyDescent="0.4">
      <c r="A4" s="6"/>
      <c r="B4" s="6"/>
      <c r="C4" s="3" t="str">
        <f>"for Academic Year "&amp; 'School DATA'!D6</f>
        <v>for Academic Year 2023/24</v>
      </c>
      <c r="E4" s="246"/>
      <c r="F4" s="254"/>
      <c r="G4" s="255"/>
      <c r="H4" s="256"/>
      <c r="I4" s="256"/>
      <c r="J4" s="255"/>
      <c r="K4" s="255"/>
      <c r="L4" s="255"/>
      <c r="M4" s="255"/>
      <c r="N4" s="255"/>
      <c r="O4" s="255"/>
      <c r="P4" s="255"/>
      <c r="Q4" s="255"/>
      <c r="R4" s="255"/>
      <c r="S4" s="191"/>
      <c r="T4" s="191"/>
      <c r="U4" s="191"/>
      <c r="V4" s="191"/>
      <c r="W4" s="191"/>
      <c r="X4" s="191"/>
    </row>
    <row r="5" spans="1:24" s="104" customFormat="1" x14ac:dyDescent="0.25">
      <c r="A5" s="6"/>
      <c r="B5" s="6"/>
      <c r="C5" s="7" t="s">
        <v>197</v>
      </c>
      <c r="F5" s="257"/>
      <c r="G5" s="255"/>
      <c r="H5" s="258">
        <f>'School DATA'!H48</f>
        <v>63677</v>
      </c>
      <c r="I5" s="259" t="s">
        <v>22</v>
      </c>
      <c r="J5" s="256"/>
      <c r="K5" s="256"/>
      <c r="L5" s="255"/>
      <c r="M5" s="255"/>
      <c r="N5" s="255"/>
      <c r="O5" s="255"/>
      <c r="P5" s="255"/>
      <c r="Q5" s="255"/>
      <c r="R5" s="255"/>
      <c r="S5" s="191"/>
      <c r="T5" s="191"/>
      <c r="U5" s="191"/>
      <c r="V5" s="191"/>
      <c r="W5" s="191"/>
      <c r="X5" s="191"/>
    </row>
    <row r="6" spans="1:24" s="104" customFormat="1" x14ac:dyDescent="0.25">
      <c r="A6" s="6"/>
      <c r="B6" s="6"/>
      <c r="C6" s="158" t="s">
        <v>289</v>
      </c>
      <c r="E6" s="102"/>
      <c r="F6" s="257"/>
      <c r="G6" s="255"/>
      <c r="H6" s="258">
        <f>'School DATA'!H50</f>
        <v>66374.35772</v>
      </c>
      <c r="I6" s="259" t="s">
        <v>140</v>
      </c>
      <c r="J6" s="256"/>
      <c r="K6" s="256"/>
      <c r="L6" s="255"/>
      <c r="M6" s="255"/>
      <c r="N6" s="255"/>
      <c r="O6" s="255"/>
      <c r="P6" s="255"/>
      <c r="Q6" s="255"/>
      <c r="R6" s="255"/>
      <c r="S6" s="191"/>
      <c r="T6" s="191"/>
      <c r="U6" s="191"/>
      <c r="V6" s="191"/>
      <c r="W6" s="191"/>
      <c r="X6" s="191"/>
    </row>
    <row r="7" spans="1:24" s="104" customFormat="1" x14ac:dyDescent="0.25">
      <c r="A7" s="6"/>
      <c r="B7" s="6"/>
      <c r="C7" s="7" t="s">
        <v>333</v>
      </c>
      <c r="D7" s="104">
        <f>IF(('School DATA'!I44&gt;0),'School DATA'!I44,'School DATA'!H44)</f>
        <v>1.35</v>
      </c>
      <c r="E7" s="206"/>
      <c r="F7" s="254"/>
      <c r="G7" s="255"/>
      <c r="H7" s="259"/>
      <c r="I7" s="256"/>
      <c r="J7" s="255"/>
      <c r="K7" s="255"/>
      <c r="L7" s="255"/>
      <c r="M7" s="255"/>
      <c r="N7" s="255"/>
      <c r="O7" s="255"/>
      <c r="P7" s="255"/>
      <c r="Q7" s="255"/>
      <c r="R7" s="255"/>
      <c r="S7" s="191"/>
      <c r="T7" s="191"/>
      <c r="U7" s="191"/>
      <c r="V7" s="191"/>
      <c r="W7" s="191"/>
      <c r="X7" s="191"/>
    </row>
    <row r="8" spans="1:24" s="104" customFormat="1" x14ac:dyDescent="0.25">
      <c r="A8" s="6"/>
      <c r="B8" s="6"/>
      <c r="C8" s="11" t="s">
        <v>171</v>
      </c>
      <c r="D8" s="10"/>
      <c r="E8" s="103"/>
      <c r="F8" s="254"/>
      <c r="G8" s="255" t="s">
        <v>64</v>
      </c>
      <c r="H8" s="260" t="s">
        <v>19</v>
      </c>
      <c r="I8" s="260" t="s">
        <v>20</v>
      </c>
      <c r="J8" s="274" t="s">
        <v>408</v>
      </c>
      <c r="K8" s="255"/>
      <c r="L8" s="255"/>
      <c r="M8" s="255"/>
      <c r="N8" s="255"/>
      <c r="O8" s="255"/>
      <c r="P8" s="255"/>
      <c r="Q8" s="255"/>
      <c r="R8" s="255"/>
      <c r="S8" s="191"/>
      <c r="T8" s="191"/>
      <c r="U8" s="191"/>
      <c r="V8" s="191"/>
      <c r="W8" s="191"/>
      <c r="X8" s="191"/>
    </row>
    <row r="9" spans="1:24" s="104" customFormat="1" x14ac:dyDescent="0.25">
      <c r="A9" s="6"/>
      <c r="B9" s="6"/>
      <c r="C9" s="11" t="s">
        <v>37</v>
      </c>
      <c r="D9" s="12">
        <f>'School DATA'!E11</f>
        <v>46</v>
      </c>
      <c r="E9" s="9"/>
      <c r="F9" s="254"/>
      <c r="G9" s="255" t="s">
        <v>62</v>
      </c>
      <c r="H9" s="261" t="s">
        <v>5</v>
      </c>
      <c r="I9" s="261">
        <v>1</v>
      </c>
      <c r="J9" s="262" t="s">
        <v>407</v>
      </c>
      <c r="K9" s="255"/>
      <c r="L9" s="255"/>
      <c r="M9" s="255"/>
      <c r="N9" s="255"/>
      <c r="O9" s="255"/>
      <c r="P9" s="255"/>
      <c r="Q9" s="255"/>
      <c r="R9" s="255"/>
      <c r="S9" s="191"/>
      <c r="T9" s="191"/>
      <c r="U9" s="191"/>
      <c r="V9" s="191"/>
      <c r="W9" s="191"/>
      <c r="X9" s="191"/>
    </row>
    <row r="10" spans="1:24" x14ac:dyDescent="0.25">
      <c r="A10" s="13"/>
      <c r="B10" s="13"/>
      <c r="C10" s="11" t="s">
        <v>38</v>
      </c>
      <c r="D10" s="12">
        <f>'School DATA'!E13</f>
        <v>52</v>
      </c>
      <c r="E10" s="9"/>
      <c r="G10" s="262" t="s">
        <v>63</v>
      </c>
      <c r="H10" s="261" t="s">
        <v>4</v>
      </c>
      <c r="I10" s="261">
        <v>2</v>
      </c>
      <c r="J10" s="262" t="s">
        <v>409</v>
      </c>
    </row>
    <row r="11" spans="1:24" ht="13.8" thickBot="1" x14ac:dyDescent="0.3">
      <c r="A11" s="13"/>
      <c r="B11" s="13"/>
      <c r="C11" s="14"/>
      <c r="D11" s="15"/>
      <c r="H11" s="261"/>
      <c r="I11" s="261" t="s">
        <v>326</v>
      </c>
      <c r="M11" s="255" t="s">
        <v>145</v>
      </c>
      <c r="N11" s="255"/>
    </row>
    <row r="12" spans="1:24" ht="18" thickBot="1" x14ac:dyDescent="0.35">
      <c r="A12" s="18"/>
      <c r="B12" s="18"/>
      <c r="C12" s="105" t="s">
        <v>292</v>
      </c>
      <c r="D12" s="18"/>
      <c r="E12" s="150"/>
      <c r="F12" s="318"/>
      <c r="G12" s="262" t="s">
        <v>293</v>
      </c>
      <c r="H12" s="263" t="s">
        <v>45</v>
      </c>
      <c r="I12" s="263" t="s">
        <v>81</v>
      </c>
      <c r="L12" s="263" t="s">
        <v>186</v>
      </c>
      <c r="M12" s="263" t="s">
        <v>86</v>
      </c>
      <c r="N12" s="255" t="s">
        <v>146</v>
      </c>
    </row>
    <row r="13" spans="1:24" ht="15.6" x14ac:dyDescent="0.3">
      <c r="A13" s="335">
        <v>1</v>
      </c>
      <c r="B13" s="335"/>
      <c r="C13" s="335" t="s">
        <v>385</v>
      </c>
      <c r="D13" s="335"/>
      <c r="E13" s="335"/>
      <c r="F13" s="335"/>
      <c r="G13" s="262" t="s">
        <v>294</v>
      </c>
      <c r="H13" s="261" t="s">
        <v>82</v>
      </c>
      <c r="I13" s="261" t="s">
        <v>83</v>
      </c>
      <c r="J13" s="264">
        <f>'School DATA'!D7</f>
        <v>45194</v>
      </c>
      <c r="L13" s="265">
        <f>COUNT(M13:M19)</f>
        <v>3</v>
      </c>
      <c r="M13" s="266">
        <f>IF(('School DATA'!D18&gt;10/10/2010),'School DATA'!D18,"")</f>
        <v>45194</v>
      </c>
      <c r="N13" s="267">
        <f>ROUND((IF((ISNUMBER(M13)),(D85/L13),"")),0)</f>
        <v>9306</v>
      </c>
      <c r="O13" s="267"/>
    </row>
    <row r="14" spans="1:24" ht="15.6" x14ac:dyDescent="0.3">
      <c r="A14" s="225" t="s">
        <v>73</v>
      </c>
      <c r="B14" s="69"/>
      <c r="C14" s="106" t="s">
        <v>371</v>
      </c>
      <c r="D14" s="19"/>
      <c r="E14" s="232"/>
      <c r="F14" s="319"/>
      <c r="H14" s="261"/>
      <c r="I14" s="261" t="s">
        <v>84</v>
      </c>
      <c r="J14" s="264">
        <f>'School DATA'!D11</f>
        <v>45504</v>
      </c>
      <c r="L14" s="261" t="s">
        <v>142</v>
      </c>
      <c r="M14" s="266">
        <f>IF(('School DATA'!D19&gt;10/10/2010),'School DATA'!D19,"")</f>
        <v>45320</v>
      </c>
      <c r="N14" s="267">
        <f>ROUND((IF((ISNUMBER(M14)),(D85/L13),"")),0)</f>
        <v>9306</v>
      </c>
    </row>
    <row r="15" spans="1:24" ht="15.6" x14ac:dyDescent="0.3">
      <c r="A15" s="226" t="s">
        <v>324</v>
      </c>
      <c r="B15" s="33"/>
      <c r="C15" s="106" t="s">
        <v>372</v>
      </c>
      <c r="D15" s="19"/>
      <c r="E15" s="232"/>
      <c r="F15" s="319"/>
      <c r="H15" s="261" t="s">
        <v>85</v>
      </c>
      <c r="I15" s="261" t="s">
        <v>83</v>
      </c>
      <c r="J15" s="264">
        <f>'School DATA'!D7</f>
        <v>45194</v>
      </c>
      <c r="L15" s="261" t="s">
        <v>143</v>
      </c>
      <c r="M15" s="266">
        <f>IF(('School DATA'!D20&gt;10/10/2010),'School DATA'!D20,"")</f>
        <v>45411</v>
      </c>
      <c r="N15" s="267">
        <f>ROUND((IF((ISNUMBER(M15)),(D85/L13),"")),0)</f>
        <v>9306</v>
      </c>
    </row>
    <row r="16" spans="1:24" ht="15" x14ac:dyDescent="0.25">
      <c r="A16" s="227" t="s">
        <v>65</v>
      </c>
      <c r="B16" s="70"/>
      <c r="C16" s="113" t="s">
        <v>122</v>
      </c>
      <c r="D16" s="19"/>
      <c r="E16" s="232"/>
      <c r="F16" s="319"/>
      <c r="H16" s="261"/>
      <c r="I16" s="261" t="s">
        <v>84</v>
      </c>
      <c r="J16" s="264">
        <f>'School DATA'!E7</f>
        <v>45558</v>
      </c>
      <c r="L16" s="261" t="s">
        <v>144</v>
      </c>
      <c r="M16" s="266" t="str">
        <f>IF(('School DATA'!D21&gt;10/10/2010),'School DATA'!D21,"")</f>
        <v/>
      </c>
      <c r="N16" s="267" t="str">
        <f>IF((ISNUMBER(M16)),(ROUND((D85/L13),0)),"")</f>
        <v/>
      </c>
      <c r="O16" s="267"/>
    </row>
    <row r="17" spans="1:24" ht="15" x14ac:dyDescent="0.25">
      <c r="A17" s="227" t="s">
        <v>66</v>
      </c>
      <c r="B17" s="70"/>
      <c r="C17" s="113" t="s">
        <v>123</v>
      </c>
      <c r="D17" s="19"/>
      <c r="E17" s="232"/>
      <c r="F17" s="319"/>
      <c r="G17" s="262" t="s">
        <v>351</v>
      </c>
      <c r="N17" s="267">
        <f>SUM(N13:N16)</f>
        <v>27918</v>
      </c>
      <c r="O17" s="267"/>
    </row>
    <row r="18" spans="1:24" ht="15" x14ac:dyDescent="0.25">
      <c r="A18" s="227" t="s">
        <v>67</v>
      </c>
      <c r="B18" s="70"/>
      <c r="C18" s="113" t="s">
        <v>124</v>
      </c>
      <c r="D18" s="19"/>
      <c r="E18" s="232"/>
      <c r="F18" s="319"/>
      <c r="G18" s="262" t="s">
        <v>352</v>
      </c>
    </row>
    <row r="19" spans="1:24" ht="15" x14ac:dyDescent="0.25">
      <c r="A19" s="227" t="s">
        <v>68</v>
      </c>
      <c r="B19" s="70"/>
      <c r="C19" s="113" t="s">
        <v>125</v>
      </c>
      <c r="D19" s="19"/>
      <c r="E19" s="232"/>
      <c r="F19" s="319"/>
      <c r="G19" s="262" t="s">
        <v>353</v>
      </c>
    </row>
    <row r="20" spans="1:24" ht="15.6" x14ac:dyDescent="0.3">
      <c r="A20" s="225" t="s">
        <v>69</v>
      </c>
      <c r="B20" s="22"/>
      <c r="C20" s="113" t="s">
        <v>195</v>
      </c>
      <c r="D20" s="19"/>
      <c r="E20" s="232"/>
      <c r="F20" s="319"/>
      <c r="G20" s="262" t="s">
        <v>354</v>
      </c>
      <c r="K20" s="263"/>
    </row>
    <row r="21" spans="1:24" ht="15" x14ac:dyDescent="0.25">
      <c r="A21" s="225" t="s">
        <v>70</v>
      </c>
      <c r="B21" s="22"/>
      <c r="C21" s="114" t="s">
        <v>196</v>
      </c>
      <c r="D21" s="19"/>
      <c r="E21" s="232"/>
      <c r="F21" s="319"/>
      <c r="G21" s="255" t="s">
        <v>332</v>
      </c>
      <c r="H21" s="255" t="s">
        <v>332</v>
      </c>
      <c r="I21" s="255" t="s">
        <v>355</v>
      </c>
      <c r="K21" s="255" t="s">
        <v>175</v>
      </c>
    </row>
    <row r="22" spans="1:24" ht="15.6" x14ac:dyDescent="0.3">
      <c r="A22" s="225" t="s">
        <v>71</v>
      </c>
      <c r="B22" s="22"/>
      <c r="C22" s="115"/>
      <c r="D22" s="19"/>
      <c r="E22" s="232"/>
      <c r="F22" s="319"/>
      <c r="G22" s="268" t="s">
        <v>8</v>
      </c>
      <c r="H22" s="269" t="s">
        <v>40</v>
      </c>
      <c r="I22" s="269" t="s">
        <v>41</v>
      </c>
      <c r="J22" s="270"/>
      <c r="K22" s="270" t="s">
        <v>8</v>
      </c>
      <c r="L22" s="269" t="s">
        <v>40</v>
      </c>
      <c r="M22" s="269" t="s">
        <v>41</v>
      </c>
      <c r="N22" s="269"/>
      <c r="O22" s="270"/>
      <c r="P22" s="270"/>
      <c r="Q22" s="270"/>
    </row>
    <row r="23" spans="1:24" ht="15.6" x14ac:dyDescent="0.3">
      <c r="A23" s="226" t="s">
        <v>72</v>
      </c>
      <c r="B23" s="33"/>
      <c r="C23" s="107" t="s">
        <v>126</v>
      </c>
      <c r="D23" s="19"/>
      <c r="E23" s="232"/>
      <c r="F23" s="319"/>
      <c r="G23" s="271">
        <f>IF(D34="Y",0,K23)</f>
        <v>0</v>
      </c>
      <c r="H23" s="271">
        <f>IF((D34="N"),K23,0)</f>
        <v>0</v>
      </c>
      <c r="I23" s="272">
        <f>IF((D34="N"),M23,0)</f>
        <v>0</v>
      </c>
      <c r="J23" s="262" t="s">
        <v>9</v>
      </c>
      <c r="K23" s="262">
        <v>0</v>
      </c>
      <c r="L23" s="270">
        <v>0</v>
      </c>
      <c r="M23" s="262">
        <v>20500</v>
      </c>
      <c r="O23" s="270"/>
      <c r="P23" s="270"/>
      <c r="Q23" s="270"/>
    </row>
    <row r="24" spans="1:24" s="1" customFormat="1" ht="15" x14ac:dyDescent="0.25">
      <c r="A24" s="225" t="s">
        <v>6</v>
      </c>
      <c r="B24" s="69"/>
      <c r="C24" s="108" t="s">
        <v>362</v>
      </c>
      <c r="D24" s="19"/>
      <c r="E24" s="232"/>
      <c r="F24" s="319"/>
      <c r="G24" s="271">
        <f>IF((AND(D34="Y",D35="N",D37=1)),K24,0)</f>
        <v>3500</v>
      </c>
      <c r="H24" s="262">
        <f>IF((AND(D34="Y",D38="D",D37=1)),L24,0)</f>
        <v>2000</v>
      </c>
      <c r="I24" s="262">
        <f>IF((AND(D34="Y",D38="I",D37=1)),M24,0)</f>
        <v>0</v>
      </c>
      <c r="J24" s="262" t="s">
        <v>10</v>
      </c>
      <c r="K24" s="262">
        <v>3500</v>
      </c>
      <c r="L24" s="262">
        <v>2000</v>
      </c>
      <c r="M24" s="262">
        <v>6000</v>
      </c>
      <c r="N24" s="262"/>
      <c r="O24" s="270"/>
      <c r="P24" s="270"/>
      <c r="Q24" s="270"/>
      <c r="R24" s="270"/>
      <c r="S24" s="193"/>
      <c r="T24" s="193"/>
      <c r="U24" s="193"/>
      <c r="V24" s="193"/>
      <c r="W24" s="193"/>
      <c r="X24" s="193"/>
    </row>
    <row r="25" spans="1:24" s="1" customFormat="1" ht="15" x14ac:dyDescent="0.25">
      <c r="A25" s="225" t="s">
        <v>334</v>
      </c>
      <c r="B25" s="69"/>
      <c r="C25" s="108"/>
      <c r="D25" s="19"/>
      <c r="E25" s="232"/>
      <c r="F25" s="318"/>
      <c r="G25" s="271">
        <f>IF((AND(D34="Y",D35="N",D37=2)),K25,0)</f>
        <v>0</v>
      </c>
      <c r="H25" s="262">
        <f>IF((AND(D34="Y",D38="D",D37=2)),L25,0)</f>
        <v>0</v>
      </c>
      <c r="I25" s="262">
        <f>IF((AND(D34="Y",D38="I",D37=2)),M25,0)</f>
        <v>0</v>
      </c>
      <c r="J25" s="262" t="s">
        <v>11</v>
      </c>
      <c r="K25" s="262">
        <v>4500</v>
      </c>
      <c r="L25" s="262">
        <v>2000</v>
      </c>
      <c r="M25" s="262">
        <v>6000</v>
      </c>
      <c r="N25" s="262"/>
      <c r="O25" s="262"/>
      <c r="P25" s="262"/>
      <c r="Q25" s="262"/>
      <c r="R25" s="270"/>
      <c r="S25" s="193"/>
      <c r="T25" s="193"/>
      <c r="U25" s="193"/>
      <c r="V25" s="193"/>
      <c r="W25" s="193"/>
      <c r="X25" s="193"/>
    </row>
    <row r="26" spans="1:24" s="1" customFormat="1" ht="15.6" x14ac:dyDescent="0.3">
      <c r="A26" s="331">
        <v>2</v>
      </c>
      <c r="B26" s="331"/>
      <c r="C26" s="331" t="s">
        <v>384</v>
      </c>
      <c r="D26" s="331"/>
      <c r="E26" s="331"/>
      <c r="F26" s="331"/>
      <c r="G26" s="271">
        <f>IF((AND(D34="Y",D35="N",D37&gt;2)),K26,0)</f>
        <v>0</v>
      </c>
      <c r="H26" s="262">
        <f>IF((AND(D34="Y",D38="D",D37&gt;2)),L26,0)</f>
        <v>0</v>
      </c>
      <c r="I26" s="262">
        <f>IF((AND(D34="Y",D38="I",D37&gt;2)),M26,0)</f>
        <v>0</v>
      </c>
      <c r="J26" s="262" t="s">
        <v>21</v>
      </c>
      <c r="K26" s="262">
        <v>5500</v>
      </c>
      <c r="L26" s="262">
        <v>2000</v>
      </c>
      <c r="M26" s="262">
        <v>7000</v>
      </c>
      <c r="N26" s="262"/>
      <c r="O26" s="262"/>
      <c r="P26" s="262"/>
      <c r="Q26" s="262"/>
      <c r="R26" s="270"/>
      <c r="S26" s="193"/>
      <c r="T26" s="193"/>
      <c r="U26" s="193"/>
      <c r="V26" s="193"/>
      <c r="W26" s="193"/>
      <c r="X26" s="193"/>
    </row>
    <row r="27" spans="1:24" ht="15.6" x14ac:dyDescent="0.3">
      <c r="A27" s="240"/>
      <c r="B27" s="240"/>
      <c r="C27" s="351" t="s">
        <v>379</v>
      </c>
      <c r="D27" s="332" t="s">
        <v>4</v>
      </c>
      <c r="E27" s="232"/>
      <c r="F27" s="318"/>
      <c r="G27" s="271">
        <f>IF((AND(D34="Y", D35="Y", D36="Y")),K27,0)</f>
        <v>0</v>
      </c>
      <c r="H27" s="262">
        <f>IF((AND(D34="Y",D35="Y",D36="Y")),I27,0)</f>
        <v>0</v>
      </c>
      <c r="I27" s="272">
        <f>IF((AND(D34="Y", D35="Y", D36="Y")),M27,0)</f>
        <v>0</v>
      </c>
      <c r="J27" s="262" t="s">
        <v>428</v>
      </c>
      <c r="K27" s="262">
        <f>K23</f>
        <v>0</v>
      </c>
      <c r="L27" s="262">
        <f>L23</f>
        <v>0</v>
      </c>
      <c r="M27" s="262">
        <f>M23</f>
        <v>20500</v>
      </c>
    </row>
    <row r="28" spans="1:24" ht="15.6" x14ac:dyDescent="0.3">
      <c r="A28" s="240"/>
      <c r="B28" s="240"/>
      <c r="C28" s="351" t="s">
        <v>381</v>
      </c>
      <c r="D28" s="332" t="s">
        <v>5</v>
      </c>
      <c r="E28" s="232"/>
      <c r="F28" s="318"/>
      <c r="G28" s="271">
        <f>MAX(G23:G27)</f>
        <v>3500</v>
      </c>
      <c r="H28" s="272"/>
      <c r="I28" s="272">
        <f>MAX(H23:I27)</f>
        <v>2000</v>
      </c>
      <c r="J28" s="255" t="s">
        <v>34</v>
      </c>
      <c r="K28" s="255"/>
      <c r="L28" s="255" t="s">
        <v>429</v>
      </c>
    </row>
    <row r="29" spans="1:24" ht="15.6" x14ac:dyDescent="0.3">
      <c r="A29" s="240"/>
      <c r="B29" s="240"/>
      <c r="C29" s="351" t="s">
        <v>380</v>
      </c>
      <c r="D29" s="332" t="s">
        <v>5</v>
      </c>
      <c r="E29" s="232"/>
      <c r="F29" s="318"/>
      <c r="G29" s="273"/>
      <c r="K29" s="255"/>
    </row>
    <row r="30" spans="1:24" ht="17.399999999999999" x14ac:dyDescent="0.3">
      <c r="A30" s="240"/>
      <c r="B30" s="397" t="str">
        <f>IF((D29="Y"),"4","")</f>
        <v/>
      </c>
      <c r="C30" s="352" t="str">
        <f>IF((D29="Y"),"Answer the questions 14-18 then proceed directly to Section 7","")</f>
        <v/>
      </c>
      <c r="D30" s="109" t="s">
        <v>5</v>
      </c>
      <c r="E30" s="232"/>
      <c r="F30" s="318"/>
      <c r="G30" s="273"/>
      <c r="H30" s="255" t="s">
        <v>176</v>
      </c>
      <c r="L30" s="274"/>
    </row>
    <row r="31" spans="1:24" ht="17.399999999999999" x14ac:dyDescent="0.3">
      <c r="A31" s="240"/>
      <c r="B31" s="240">
        <f>IF((D31="Y"),1,0)</f>
        <v>0</v>
      </c>
      <c r="C31" s="217" t="s">
        <v>373</v>
      </c>
      <c r="D31" s="109" t="s">
        <v>5</v>
      </c>
      <c r="E31" s="233" t="str">
        <f>IF((D31="Y"),"PRIVATE LOANS ONLY","")</f>
        <v/>
      </c>
      <c r="F31" s="318"/>
      <c r="G31" s="273" t="s">
        <v>39</v>
      </c>
      <c r="H31" s="275" t="s">
        <v>13</v>
      </c>
      <c r="I31" s="275" t="s">
        <v>14</v>
      </c>
      <c r="J31" s="255" t="s">
        <v>12</v>
      </c>
      <c r="K31" s="255"/>
    </row>
    <row r="32" spans="1:24" ht="15" x14ac:dyDescent="0.25">
      <c r="A32" s="240"/>
      <c r="B32" s="240"/>
      <c r="C32" t="s">
        <v>370</v>
      </c>
      <c r="D32" s="109" t="s">
        <v>5</v>
      </c>
      <c r="E32" s="238" t="str">
        <f>IF((D32="Y"),"For school codes - click below","")</f>
        <v/>
      </c>
      <c r="F32" s="318"/>
      <c r="G32" s="276">
        <f>D7</f>
        <v>1.35</v>
      </c>
      <c r="H32" s="272">
        <f>D40*G32</f>
        <v>0</v>
      </c>
      <c r="I32" s="272">
        <f>E40</f>
        <v>0</v>
      </c>
      <c r="J32" s="255" t="s">
        <v>15</v>
      </c>
      <c r="K32" s="262" t="s">
        <v>392</v>
      </c>
    </row>
    <row r="33" spans="1:24" x14ac:dyDescent="0.25">
      <c r="A33" s="240"/>
      <c r="B33" s="240">
        <f>IF((D33="N"),1,0)</f>
        <v>0</v>
      </c>
      <c r="C33" t="str">
        <f>IF((D32="Y"),"Is that school in the List of federal School Codes at the website link now showing in red box","do not adjust this line")</f>
        <v>do not adjust this line</v>
      </c>
      <c r="D33" s="109" t="s">
        <v>4</v>
      </c>
      <c r="E33" s="242" t="str">
        <f>IF((D32="Y"),"https://ifap.ed.gov/ilibrary/document-types/federal-school-code-list","")</f>
        <v/>
      </c>
      <c r="F33" s="318"/>
      <c r="G33" s="273">
        <f>G32</f>
        <v>1.35</v>
      </c>
      <c r="H33" s="272">
        <f>D41*G33</f>
        <v>0</v>
      </c>
      <c r="I33" s="272">
        <f>E41</f>
        <v>0</v>
      </c>
      <c r="J33" s="262" t="s">
        <v>16</v>
      </c>
      <c r="K33" s="262" t="s">
        <v>391</v>
      </c>
    </row>
    <row r="34" spans="1:24" x14ac:dyDescent="0.25">
      <c r="A34" s="240">
        <f>IF((D34="Y"),1,2)</f>
        <v>1</v>
      </c>
      <c r="B34" s="240"/>
      <c r="C34" s="20" t="s">
        <v>368</v>
      </c>
      <c r="D34" s="109" t="s">
        <v>4</v>
      </c>
      <c r="E34" s="250" t="str">
        <f>IF((D33="n"), "PRIVATE LOANS ONLY","")</f>
        <v/>
      </c>
      <c r="F34" s="318"/>
      <c r="G34" s="273">
        <f>G33</f>
        <v>1.35</v>
      </c>
      <c r="H34" s="272">
        <f>D42*G34</f>
        <v>0</v>
      </c>
      <c r="I34" s="272">
        <f>E42</f>
        <v>0</v>
      </c>
      <c r="J34" s="262" t="s">
        <v>17</v>
      </c>
      <c r="K34" s="262" t="s">
        <v>391</v>
      </c>
    </row>
    <row r="35" spans="1:24" x14ac:dyDescent="0.25">
      <c r="A35" s="240">
        <f>IF((D35="N"),1,2)</f>
        <v>1</v>
      </c>
      <c r="B35" s="240"/>
      <c r="C35" s="178" t="str">
        <f>IF(D34="N", "Do not adjust this line", "Are you taking an undergraduate course but at graduate/professional level? Only answer Y or N")</f>
        <v>Are you taking an undergraduate course but at graduate/professional level? Only answer Y or N</v>
      </c>
      <c r="D35" s="109" t="s">
        <v>5</v>
      </c>
      <c r="E35" s="150"/>
      <c r="F35" s="318"/>
      <c r="G35" s="273">
        <f>G34</f>
        <v>1.35</v>
      </c>
      <c r="H35" s="272">
        <f>D43*G35</f>
        <v>0</v>
      </c>
      <c r="I35" s="272">
        <f>E43</f>
        <v>0</v>
      </c>
      <c r="J35" s="262" t="s">
        <v>43</v>
      </c>
      <c r="K35" s="262" t="s">
        <v>391</v>
      </c>
    </row>
    <row r="36" spans="1:24" x14ac:dyDescent="0.25">
      <c r="A36" s="239"/>
      <c r="B36" s="240"/>
      <c r="C36" s="179" t="str">
        <f>IF((AND( D34="Y", D35="Y")), "Do you already have another undergraduate degree - answer Y or N", "Do not adjust this line" )</f>
        <v>Do not adjust this line</v>
      </c>
      <c r="D36" s="109" t="s">
        <v>5</v>
      </c>
      <c r="E36" s="150"/>
      <c r="F36" s="318"/>
      <c r="G36" s="273">
        <f>G34</f>
        <v>1.35</v>
      </c>
      <c r="H36" s="272">
        <f>D44*G36</f>
        <v>0</v>
      </c>
      <c r="I36" s="272">
        <f>E44</f>
        <v>0</v>
      </c>
      <c r="J36" s="262" t="s">
        <v>44</v>
      </c>
      <c r="K36" s="262" t="s">
        <v>391</v>
      </c>
    </row>
    <row r="37" spans="1:24" s="1" customFormat="1" ht="15" customHeight="1" x14ac:dyDescent="0.3">
      <c r="A37" s="239"/>
      <c r="B37" s="240"/>
      <c r="C37" s="179" t="s">
        <v>369</v>
      </c>
      <c r="D37" s="110">
        <v>1</v>
      </c>
      <c r="E37" s="150"/>
      <c r="F37" s="318"/>
      <c r="G37" s="277"/>
      <c r="H37" s="278"/>
      <c r="I37" s="279">
        <f>SUM(H33:I36)</f>
        <v>0</v>
      </c>
      <c r="J37" s="263" t="s">
        <v>42</v>
      </c>
      <c r="K37" s="263"/>
      <c r="L37" s="270"/>
      <c r="M37" s="270"/>
      <c r="N37" s="270"/>
      <c r="O37" s="270"/>
      <c r="P37" s="270"/>
      <c r="Q37" s="270"/>
      <c r="R37" s="270"/>
      <c r="S37" s="193"/>
      <c r="T37" s="193"/>
      <c r="U37" s="193"/>
      <c r="V37" s="193"/>
      <c r="W37" s="193"/>
      <c r="X37" s="193"/>
    </row>
    <row r="38" spans="1:24" ht="14.25" customHeight="1" x14ac:dyDescent="0.25">
      <c r="A38" s="239"/>
      <c r="B38" s="240"/>
      <c r="C38" s="20" t="s">
        <v>92</v>
      </c>
      <c r="D38" s="109" t="s">
        <v>63</v>
      </c>
      <c r="E38" s="150"/>
      <c r="F38" s="318"/>
      <c r="G38" s="273"/>
      <c r="I38" s="272"/>
    </row>
    <row r="39" spans="1:24" x14ac:dyDescent="0.25">
      <c r="A39" s="239"/>
      <c r="B39" s="240"/>
      <c r="C39" s="20" t="s">
        <v>0</v>
      </c>
      <c r="D39" s="111">
        <v>0</v>
      </c>
      <c r="E39" s="234"/>
      <c r="F39" s="318"/>
      <c r="G39" s="273"/>
      <c r="H39" s="255" t="s">
        <v>177</v>
      </c>
    </row>
    <row r="40" spans="1:24" x14ac:dyDescent="0.25">
      <c r="A40" s="239"/>
      <c r="B40" s="397" t="str">
        <f>IF((D29="Y"),"14","")</f>
        <v/>
      </c>
      <c r="C40" s="20" t="s">
        <v>290</v>
      </c>
      <c r="D40" s="112">
        <v>0</v>
      </c>
      <c r="E40" s="234"/>
      <c r="F40" s="320"/>
      <c r="G40" s="273" t="s">
        <v>18</v>
      </c>
      <c r="H40" s="271" t="s">
        <v>32</v>
      </c>
      <c r="I40" s="271" t="s">
        <v>33</v>
      </c>
      <c r="J40" s="262" t="s">
        <v>31</v>
      </c>
      <c r="K40" s="262" t="s">
        <v>387</v>
      </c>
      <c r="L40" s="262" t="s">
        <v>39</v>
      </c>
      <c r="M40" s="262" t="s">
        <v>390</v>
      </c>
    </row>
    <row r="41" spans="1:24" x14ac:dyDescent="0.25">
      <c r="A41" s="239"/>
      <c r="B41" s="397" t="str">
        <f>IF((D29="Y"),"15","")</f>
        <v/>
      </c>
      <c r="C41" s="21" t="s">
        <v>320</v>
      </c>
      <c r="D41" s="112">
        <v>0</v>
      </c>
      <c r="E41" s="235">
        <v>0</v>
      </c>
      <c r="F41" s="320"/>
      <c r="G41" s="273">
        <f>D9</f>
        <v>46</v>
      </c>
      <c r="H41" s="272">
        <f>ROUND((M41*L41*G41),0)</f>
        <v>12420</v>
      </c>
      <c r="I41" s="272">
        <f>ROUND((M41*L41*J41),0)</f>
        <v>14040</v>
      </c>
      <c r="J41" s="280">
        <f>D10</f>
        <v>52</v>
      </c>
      <c r="K41" s="353" t="str">
        <f>IF(((MAX(A34:A35))&gt;1),"P","U")</f>
        <v>U</v>
      </c>
      <c r="L41" s="281">
        <f>G32</f>
        <v>1.35</v>
      </c>
      <c r="M41" s="262">
        <f>'School DATA'!I11</f>
        <v>200</v>
      </c>
      <c r="N41" s="262" t="s">
        <v>27</v>
      </c>
    </row>
    <row r="42" spans="1:24" x14ac:dyDescent="0.25">
      <c r="A42" s="239"/>
      <c r="B42" s="397" t="str">
        <f>IF((D29="Y"),"16","")</f>
        <v/>
      </c>
      <c r="C42" s="21" t="s">
        <v>335</v>
      </c>
      <c r="D42" s="112">
        <v>0</v>
      </c>
      <c r="E42" s="236"/>
      <c r="F42" s="321"/>
      <c r="G42" s="273">
        <f>D9</f>
        <v>46</v>
      </c>
      <c r="H42" s="272">
        <f>ROUND((M42*L42*G42),0)</f>
        <v>4968</v>
      </c>
      <c r="I42" s="272">
        <f>ROUND((M42*L42*J42),0)</f>
        <v>5616</v>
      </c>
      <c r="J42" s="280">
        <f t="shared" ref="J42:L45" si="0">J41</f>
        <v>52</v>
      </c>
      <c r="K42" s="353" t="str">
        <f t="shared" si="0"/>
        <v>U</v>
      </c>
      <c r="L42" s="281">
        <f t="shared" si="0"/>
        <v>1.35</v>
      </c>
      <c r="M42" s="262">
        <f>'School DATA'!I13</f>
        <v>80</v>
      </c>
      <c r="N42" s="262" t="s">
        <v>28</v>
      </c>
    </row>
    <row r="43" spans="1:24" x14ac:dyDescent="0.25">
      <c r="A43" s="354"/>
      <c r="B43" s="397" t="str">
        <f>IF((D29="Y"),"17","")</f>
        <v/>
      </c>
      <c r="C43" s="20" t="s">
        <v>321</v>
      </c>
      <c r="D43" s="112">
        <v>0</v>
      </c>
      <c r="E43" s="236"/>
      <c r="F43" s="321"/>
      <c r="G43" s="273">
        <f>G42</f>
        <v>46</v>
      </c>
      <c r="H43" s="272">
        <f>ROUND((M43*L43*G43),0)</f>
        <v>621</v>
      </c>
      <c r="I43" s="272">
        <f>ROUND((M43*L43*J43),0)</f>
        <v>702</v>
      </c>
      <c r="J43" s="280">
        <f t="shared" si="0"/>
        <v>52</v>
      </c>
      <c r="K43" s="353" t="str">
        <f t="shared" si="0"/>
        <v>U</v>
      </c>
      <c r="L43" s="281">
        <f t="shared" si="0"/>
        <v>1.35</v>
      </c>
      <c r="M43" s="262">
        <f>'School DATA'!H14</f>
        <v>10</v>
      </c>
      <c r="N43" s="262" t="s">
        <v>29</v>
      </c>
    </row>
    <row r="44" spans="1:24" x14ac:dyDescent="0.25">
      <c r="A44" s="243" t="s">
        <v>367</v>
      </c>
      <c r="B44" s="397" t="str">
        <f>IF((D29="Y"),"18","")</f>
        <v/>
      </c>
      <c r="C44" s="20" t="s">
        <v>322</v>
      </c>
      <c r="D44" s="237"/>
      <c r="E44" s="235">
        <v>0</v>
      </c>
      <c r="F44" s="321"/>
      <c r="G44" s="273">
        <f>G43</f>
        <v>46</v>
      </c>
      <c r="H44" s="272">
        <f>ROUND((M44*L44*G44),0)</f>
        <v>1242</v>
      </c>
      <c r="I44" s="272">
        <f>ROUND((M44*L44*J44),0)</f>
        <v>1404</v>
      </c>
      <c r="J44" s="280">
        <f t="shared" si="0"/>
        <v>52</v>
      </c>
      <c r="K44" s="353" t="str">
        <f t="shared" si="0"/>
        <v>U</v>
      </c>
      <c r="L44" s="281">
        <f t="shared" si="0"/>
        <v>1.35</v>
      </c>
      <c r="M44" s="262">
        <f>'School DATA'!H15</f>
        <v>20</v>
      </c>
      <c r="N44" s="262" t="s">
        <v>30</v>
      </c>
    </row>
    <row r="45" spans="1:24" ht="15.6" x14ac:dyDescent="0.3">
      <c r="A45" s="240">
        <f>SUM(B31:B45)</f>
        <v>0</v>
      </c>
      <c r="B45" s="245">
        <f>IF((D29="Y"),1,0)</f>
        <v>0</v>
      </c>
      <c r="E45" s="241" t="str">
        <f>IF((A45&gt;0),"PRIVATE LOANS ONLY","")</f>
        <v/>
      </c>
      <c r="F45" s="321"/>
      <c r="G45" s="273">
        <f>G44</f>
        <v>46</v>
      </c>
      <c r="H45" s="272">
        <f>ROUND((M45*L45*G45),0)</f>
        <v>2484</v>
      </c>
      <c r="I45" s="272">
        <f>ROUND((M45*L45*J45),0)</f>
        <v>2808</v>
      </c>
      <c r="J45" s="280">
        <f t="shared" si="0"/>
        <v>52</v>
      </c>
      <c r="K45" s="353" t="str">
        <f t="shared" si="0"/>
        <v>U</v>
      </c>
      <c r="L45" s="281">
        <f t="shared" si="0"/>
        <v>1.35</v>
      </c>
      <c r="M45" s="262">
        <f>'School DATA'!H13</f>
        <v>40</v>
      </c>
      <c r="N45" s="262" t="s">
        <v>2</v>
      </c>
    </row>
    <row r="46" spans="1:24" ht="17.399999999999999" x14ac:dyDescent="0.3">
      <c r="A46" s="336">
        <v>3</v>
      </c>
      <c r="B46" s="337"/>
      <c r="C46" s="338" t="str">
        <f>G58</f>
        <v>Your Cost of Attendance (Values rounded)</v>
      </c>
      <c r="D46" s="339" t="str">
        <f>H59</f>
        <v>$</v>
      </c>
      <c r="E46" s="340"/>
      <c r="F46" s="320"/>
      <c r="G46" s="273"/>
      <c r="H46" s="272"/>
      <c r="I46" s="272"/>
      <c r="J46" s="280"/>
      <c r="K46" s="353">
        <f>M46*L46</f>
        <v>2700</v>
      </c>
      <c r="L46" s="281">
        <f>L45</f>
        <v>1.35</v>
      </c>
      <c r="M46" s="262">
        <f>'School DATA'!I19</f>
        <v>2000</v>
      </c>
      <c r="N46" s="362" t="s">
        <v>401</v>
      </c>
    </row>
    <row r="47" spans="1:24" ht="21" x14ac:dyDescent="0.4">
      <c r="A47" s="224"/>
      <c r="B47" s="68"/>
      <c r="C47" s="341" t="str">
        <f>G60</f>
        <v>Tuition Fees</v>
      </c>
      <c r="D47" s="376">
        <f>H60</f>
        <v>0</v>
      </c>
      <c r="E47" s="25"/>
      <c r="F47" s="322"/>
      <c r="H47" s="272"/>
      <c r="I47" s="272"/>
      <c r="K47" s="353">
        <f>M47*L47</f>
        <v>2474.5500000000002</v>
      </c>
      <c r="L47" s="281">
        <f>L46</f>
        <v>1.35</v>
      </c>
      <c r="M47" s="262">
        <f>'School DATA'!I22</f>
        <v>1833</v>
      </c>
      <c r="N47" s="262" t="s">
        <v>402</v>
      </c>
    </row>
    <row r="48" spans="1:24" ht="21" x14ac:dyDescent="0.4">
      <c r="A48" s="224"/>
      <c r="B48" s="68"/>
      <c r="C48" s="341" t="str">
        <f t="shared" ref="C48:C58" si="1">G61</f>
        <v>Room</v>
      </c>
      <c r="D48" s="376">
        <f t="shared" ref="D48:D56" si="2">H61</f>
        <v>12420</v>
      </c>
      <c r="E48" s="25"/>
      <c r="F48" s="323"/>
      <c r="H48" s="59" t="s">
        <v>420</v>
      </c>
      <c r="I48" s="272"/>
      <c r="K48" s="253" t="s">
        <v>78</v>
      </c>
    </row>
    <row r="49" spans="1:24" ht="15" x14ac:dyDescent="0.25">
      <c r="A49" s="224"/>
      <c r="B49" s="68"/>
      <c r="C49" s="341" t="str">
        <f t="shared" si="1"/>
        <v>Board</v>
      </c>
      <c r="D49" s="376">
        <f t="shared" si="2"/>
        <v>4968</v>
      </c>
      <c r="E49" s="25"/>
      <c r="F49" s="323"/>
      <c r="G49" s="281">
        <f>D7</f>
        <v>1.35</v>
      </c>
      <c r="H49" s="386" t="s">
        <v>423</v>
      </c>
      <c r="I49" s="385">
        <f>IF((E62="Allow"),D62*G49,0)</f>
        <v>0</v>
      </c>
      <c r="L49" s="262" t="s">
        <v>80</v>
      </c>
      <c r="M49" s="262" t="s">
        <v>160</v>
      </c>
      <c r="N49" s="262" t="s">
        <v>170</v>
      </c>
      <c r="O49" s="262" t="s">
        <v>162</v>
      </c>
    </row>
    <row r="50" spans="1:24" ht="15" x14ac:dyDescent="0.25">
      <c r="A50" s="224"/>
      <c r="B50" s="68"/>
      <c r="C50" s="341" t="str">
        <f t="shared" si="1"/>
        <v>Books</v>
      </c>
      <c r="D50" s="376">
        <f t="shared" si="2"/>
        <v>621</v>
      </c>
      <c r="E50" s="25"/>
      <c r="F50" s="323"/>
      <c r="G50" s="262">
        <f>G49</f>
        <v>1.35</v>
      </c>
      <c r="H50" s="386" t="s">
        <v>424</v>
      </c>
      <c r="I50" s="385">
        <f>IF((E63="Allow"),D63*G50,0)</f>
        <v>0</v>
      </c>
      <c r="K50" s="262" t="s">
        <v>79</v>
      </c>
      <c r="M50" s="262" t="s">
        <v>161</v>
      </c>
      <c r="N50" s="262" t="s">
        <v>39</v>
      </c>
      <c r="O50" s="262" t="s">
        <v>163</v>
      </c>
    </row>
    <row r="51" spans="1:24" ht="15" x14ac:dyDescent="0.25">
      <c r="A51" s="224"/>
      <c r="B51" s="68"/>
      <c r="C51" s="341" t="str">
        <f t="shared" si="1"/>
        <v>Travel</v>
      </c>
      <c r="D51" s="376">
        <f t="shared" si="2"/>
        <v>1242</v>
      </c>
      <c r="E51" s="25"/>
      <c r="F51" s="323"/>
      <c r="G51" s="262">
        <f>G50</f>
        <v>1.35</v>
      </c>
      <c r="H51" s="386" t="s">
        <v>425</v>
      </c>
      <c r="I51" s="385">
        <f>IF((E64="Allow"),D64*G51,0)</f>
        <v>0</v>
      </c>
      <c r="K51" s="262" t="s">
        <v>183</v>
      </c>
      <c r="L51" s="282">
        <f>'School DATA'!D38</f>
        <v>1.0589999999999999</v>
      </c>
      <c r="M51" s="282">
        <f>'School DATA'!E38</f>
        <v>0</v>
      </c>
      <c r="N51" s="282">
        <f>L51-M51</f>
        <v>1.0589999999999999</v>
      </c>
      <c r="O51" s="283">
        <f>N51*0.01</f>
        <v>1.059E-2</v>
      </c>
    </row>
    <row r="52" spans="1:24" ht="15" x14ac:dyDescent="0.25">
      <c r="A52" s="224"/>
      <c r="B52" s="68"/>
      <c r="C52" s="341" t="str">
        <f t="shared" si="1"/>
        <v>Personal</v>
      </c>
      <c r="D52" s="376">
        <f t="shared" si="2"/>
        <v>2484</v>
      </c>
      <c r="E52" s="25"/>
      <c r="F52" s="323"/>
      <c r="G52" s="262">
        <f>G51</f>
        <v>1.35</v>
      </c>
      <c r="H52" s="386" t="s">
        <v>426</v>
      </c>
      <c r="I52" s="385">
        <f>IF((E65="Allow"),D65*G52,0)</f>
        <v>0</v>
      </c>
      <c r="K52" s="262" t="s">
        <v>184</v>
      </c>
      <c r="L52" s="282">
        <f>'School DATA'!D39</f>
        <v>1.0589999999999999</v>
      </c>
      <c r="M52" s="282">
        <f>'School DATA'!E39</f>
        <v>0</v>
      </c>
      <c r="N52" s="282">
        <f>L52-M52</f>
        <v>1.0589999999999999</v>
      </c>
      <c r="O52" s="283">
        <f>N52*0.01</f>
        <v>1.059E-2</v>
      </c>
    </row>
    <row r="53" spans="1:24" ht="15" x14ac:dyDescent="0.25">
      <c r="A53" s="224"/>
      <c r="B53" s="68"/>
      <c r="C53" s="342" t="str">
        <f t="shared" si="1"/>
        <v>Essential flights + health for all years (plus visa and laptop if 1st year)</v>
      </c>
      <c r="D53" s="377">
        <f t="shared" si="2"/>
        <v>5174.55</v>
      </c>
      <c r="E53" s="25"/>
      <c r="F53" s="323"/>
      <c r="G53" s="262">
        <f>G52</f>
        <v>1.35</v>
      </c>
      <c r="H53" s="272"/>
      <c r="I53" s="272"/>
      <c r="K53" s="262" t="s">
        <v>185</v>
      </c>
      <c r="L53" s="282">
        <f>'School DATA'!D40</f>
        <v>4.2359999999999998</v>
      </c>
      <c r="M53" s="282">
        <f>'School DATA'!E40</f>
        <v>0</v>
      </c>
      <c r="N53" s="282">
        <f>L53-M53</f>
        <v>4.2359999999999998</v>
      </c>
      <c r="O53" s="283">
        <f>N53*0.01</f>
        <v>4.2360000000000002E-2</v>
      </c>
    </row>
    <row r="54" spans="1:24" ht="15.6" x14ac:dyDescent="0.3">
      <c r="A54" s="224"/>
      <c r="B54" s="68"/>
      <c r="C54" s="379" t="str">
        <f t="shared" si="1"/>
        <v>Total Cost of Attendance</v>
      </c>
      <c r="D54" s="380">
        <f t="shared" si="2"/>
        <v>26909.55</v>
      </c>
      <c r="E54" s="26"/>
      <c r="F54" s="323"/>
      <c r="G54" s="262">
        <f>G53</f>
        <v>1.35</v>
      </c>
      <c r="H54" s="272" t="s">
        <v>427</v>
      </c>
      <c r="I54" s="393">
        <f>SUM(I49:I53)</f>
        <v>0</v>
      </c>
    </row>
    <row r="55" spans="1:24" ht="16.2" thickBot="1" x14ac:dyDescent="0.35">
      <c r="A55" s="224"/>
      <c r="B55" s="68"/>
      <c r="C55" s="343" t="str">
        <f t="shared" si="1"/>
        <v>Adjust for Sponsorship, Awards or other Aid</v>
      </c>
      <c r="D55" s="378">
        <f t="shared" si="2"/>
        <v>0</v>
      </c>
      <c r="E55" s="25"/>
      <c r="F55" s="324"/>
      <c r="H55" s="272"/>
      <c r="I55" s="272"/>
    </row>
    <row r="56" spans="1:24" ht="15.6" thickTop="1" x14ac:dyDescent="0.25">
      <c r="A56" s="224"/>
      <c r="B56" s="68"/>
      <c r="C56" s="372" t="str">
        <f t="shared" si="1"/>
        <v>Total Cost of Attendance</v>
      </c>
      <c r="D56" s="373">
        <f t="shared" si="2"/>
        <v>26910</v>
      </c>
      <c r="E56" s="25"/>
      <c r="F56" s="323"/>
      <c r="H56" s="272"/>
    </row>
    <row r="57" spans="1:24" ht="21" x14ac:dyDescent="0.4">
      <c r="A57" s="224"/>
      <c r="B57" s="68"/>
      <c r="C57" s="370" t="str">
        <f t="shared" si="1"/>
        <v>Approved Additional Items</v>
      </c>
      <c r="D57" s="374">
        <f>I54</f>
        <v>0</v>
      </c>
      <c r="E57" s="25"/>
      <c r="F57" s="323"/>
      <c r="J57" s="253"/>
      <c r="K57" s="274" t="s">
        <v>51</v>
      </c>
      <c r="L57" s="274" t="s">
        <v>52</v>
      </c>
      <c r="M57" s="255" t="s">
        <v>187</v>
      </c>
      <c r="N57" s="255" t="s">
        <v>182</v>
      </c>
      <c r="O57" s="255"/>
    </row>
    <row r="58" spans="1:24" ht="21.6" thickBot="1" x14ac:dyDescent="0.45">
      <c r="A58" s="224"/>
      <c r="B58" s="68"/>
      <c r="C58" s="371" t="str">
        <f t="shared" si="1"/>
        <v>Final CoA including approved Additional Items</v>
      </c>
      <c r="D58" s="375">
        <f>H71</f>
        <v>26910</v>
      </c>
      <c r="F58" s="323"/>
      <c r="G58" s="284" t="s">
        <v>383</v>
      </c>
      <c r="H58" s="255"/>
      <c r="J58" s="262" t="s">
        <v>46</v>
      </c>
      <c r="K58" s="286">
        <f>H71</f>
        <v>26910</v>
      </c>
      <c r="L58" s="286"/>
      <c r="O58" s="255"/>
    </row>
    <row r="59" spans="1:24" ht="21.6" thickTop="1" x14ac:dyDescent="0.4">
      <c r="A59" s="224"/>
      <c r="B59" s="68"/>
      <c r="F59" s="323"/>
      <c r="H59" s="285" t="s">
        <v>25</v>
      </c>
      <c r="J59" s="262" t="s">
        <v>47</v>
      </c>
      <c r="K59" s="286">
        <f>-D39</f>
        <v>0</v>
      </c>
      <c r="L59" s="286"/>
      <c r="M59" s="253"/>
      <c r="O59" s="255"/>
      <c r="U59" s="190"/>
      <c r="V59" s="190"/>
    </row>
    <row r="60" spans="1:24" s="157" customFormat="1" ht="21" x14ac:dyDescent="0.4">
      <c r="A60" s="224"/>
      <c r="B60" s="68"/>
      <c r="E60" s="363" t="s">
        <v>403</v>
      </c>
      <c r="F60" s="323"/>
      <c r="G60" s="287" t="s">
        <v>26</v>
      </c>
      <c r="H60" s="288">
        <f>ROUND(H32,0)</f>
        <v>0</v>
      </c>
      <c r="I60" s="262"/>
      <c r="J60" s="262" t="s">
        <v>50</v>
      </c>
      <c r="K60" s="286">
        <f>IF((SUM(K58:K59)&gt;0),(SUM(K58:K59)),0)</f>
        <v>26910</v>
      </c>
      <c r="L60" s="286"/>
      <c r="M60" s="262"/>
      <c r="N60" s="286">
        <f>IF((K60&lt;K62),(K62-K60),0)</f>
        <v>0</v>
      </c>
      <c r="O60" s="262"/>
      <c r="P60" s="253"/>
      <c r="Q60" s="253"/>
      <c r="R60" s="253"/>
      <c r="S60" s="190"/>
      <c r="W60" s="190"/>
      <c r="X60" s="190"/>
    </row>
    <row r="61" spans="1:24" ht="15.6" x14ac:dyDescent="0.3">
      <c r="A61" s="224"/>
      <c r="B61" s="68"/>
      <c r="C61" s="355" t="s">
        <v>388</v>
      </c>
      <c r="D61" s="357" t="s">
        <v>419</v>
      </c>
      <c r="E61" s="366" t="s">
        <v>410</v>
      </c>
      <c r="F61" s="367"/>
      <c r="G61" s="287" t="s">
        <v>27</v>
      </c>
      <c r="H61" s="288">
        <f>ROUND((IF(K41="P",I41,H41)),0)</f>
        <v>12420</v>
      </c>
      <c r="J61" s="262" t="s">
        <v>181</v>
      </c>
      <c r="K61" s="286">
        <f>IF((D29="Y"),0,G28)</f>
        <v>3500</v>
      </c>
      <c r="L61" s="286"/>
    </row>
    <row r="62" spans="1:24" ht="15" x14ac:dyDescent="0.25">
      <c r="A62" s="224"/>
      <c r="B62" s="68"/>
      <c r="C62" s="333" t="s">
        <v>404</v>
      </c>
      <c r="D62" s="381">
        <v>0</v>
      </c>
      <c r="E62" s="25" t="s">
        <v>407</v>
      </c>
      <c r="F62" s="323"/>
      <c r="G62" s="287" t="s">
        <v>28</v>
      </c>
      <c r="H62" s="288">
        <f>ROUND((IF(K42="P",I42,H42)),0)</f>
        <v>4968</v>
      </c>
      <c r="J62" s="255" t="s">
        <v>48</v>
      </c>
      <c r="K62" s="289">
        <f>IF((((K60/(100-N51))*100)&lt;K61),((K60/(100-N51))*100),K61)</f>
        <v>3500</v>
      </c>
      <c r="L62" s="286"/>
      <c r="M62" s="262">
        <f>IF((N60&gt;0),0,(K62*O51))</f>
        <v>37.065000000000005</v>
      </c>
    </row>
    <row r="63" spans="1:24" ht="15" x14ac:dyDescent="0.25">
      <c r="A63" s="224"/>
      <c r="B63" s="68"/>
      <c r="C63" s="333" t="s">
        <v>405</v>
      </c>
      <c r="D63" s="381">
        <v>0</v>
      </c>
      <c r="E63" s="25" t="s">
        <v>407</v>
      </c>
      <c r="F63" s="323"/>
      <c r="G63" s="287" t="s">
        <v>29</v>
      </c>
      <c r="H63" s="288">
        <f>ROUND((IF(K43="P",I43,H43)),0)</f>
        <v>621</v>
      </c>
      <c r="K63" s="286"/>
      <c r="L63" s="286"/>
      <c r="P63" s="286"/>
    </row>
    <row r="64" spans="1:24" ht="15" x14ac:dyDescent="0.25">
      <c r="A64" s="224"/>
      <c r="B64" s="68"/>
      <c r="C64" s="333" t="s">
        <v>406</v>
      </c>
      <c r="D64" s="381">
        <v>0</v>
      </c>
      <c r="E64" s="25" t="s">
        <v>407</v>
      </c>
      <c r="F64" s="323"/>
      <c r="G64" s="287" t="s">
        <v>30</v>
      </c>
      <c r="H64" s="288">
        <f>ROUND((IF(K44="P",I44,H44)),0)</f>
        <v>1242</v>
      </c>
      <c r="J64" s="262" t="s">
        <v>54</v>
      </c>
      <c r="K64" s="286"/>
      <c r="L64" s="286">
        <f>IF((N60&gt;0),(K58+N60-K62),(K58-K62+M62))</f>
        <v>23447.064999999999</v>
      </c>
      <c r="N64" s="286">
        <f>IF((((L66-L64)&gt;0)),(L66-L64),0)</f>
        <v>0</v>
      </c>
    </row>
    <row r="65" spans="1:24" ht="15" x14ac:dyDescent="0.25">
      <c r="A65" s="224"/>
      <c r="B65" s="68"/>
      <c r="C65" s="333" t="s">
        <v>389</v>
      </c>
      <c r="D65" s="381">
        <v>0</v>
      </c>
      <c r="E65" s="25" t="s">
        <v>407</v>
      </c>
      <c r="F65" s="323"/>
      <c r="G65" s="287" t="s">
        <v>2</v>
      </c>
      <c r="H65" s="288">
        <f>ROUND((IF(K45="P",I45,H45)),0)</f>
        <v>2484</v>
      </c>
      <c r="J65" s="262" t="s">
        <v>53</v>
      </c>
      <c r="K65" s="286"/>
      <c r="L65" s="286">
        <f>IF((D29="Y"),0,(G28+I28-K62))</f>
        <v>2000</v>
      </c>
    </row>
    <row r="66" spans="1:24" ht="15.6" thickBot="1" x14ac:dyDescent="0.3">
      <c r="A66" s="224"/>
      <c r="B66" s="68"/>
      <c r="C66" s="356" t="s">
        <v>418</v>
      </c>
      <c r="D66" s="357"/>
      <c r="E66" s="25"/>
      <c r="F66" s="323"/>
      <c r="G66" s="287" t="s">
        <v>433</v>
      </c>
      <c r="H66" s="290">
        <f>IF((D37=1),(K46+K47),K46)</f>
        <v>5174.55</v>
      </c>
      <c r="J66" s="255" t="s">
        <v>49</v>
      </c>
      <c r="K66" s="289"/>
      <c r="L66" s="289">
        <f>IF((((L64/(100-N52))*100)&lt;L65),((L64/(100-N52))*100),L65)</f>
        <v>2000</v>
      </c>
      <c r="M66" s="262">
        <f>+IF((N64&gt;0),0,(L66*O52))</f>
        <v>21.18</v>
      </c>
    </row>
    <row r="67" spans="1:24" ht="15" x14ac:dyDescent="0.25">
      <c r="A67" s="224"/>
      <c r="B67" s="68"/>
      <c r="C67" s="384" t="s">
        <v>434</v>
      </c>
      <c r="D67" s="383">
        <f>SUM(D62:D65)</f>
        <v>0</v>
      </c>
      <c r="E67" s="382">
        <f>I54</f>
        <v>0</v>
      </c>
      <c r="F67" s="323"/>
      <c r="G67" s="291" t="s">
        <v>36</v>
      </c>
      <c r="H67" s="292">
        <f>SUM(H60:H66)</f>
        <v>26909.55</v>
      </c>
      <c r="K67" s="286"/>
      <c r="L67" s="286"/>
      <c r="Q67" s="255"/>
      <c r="R67" s="255"/>
      <c r="S67" s="191"/>
    </row>
    <row r="68" spans="1:24" ht="15.6" x14ac:dyDescent="0.3">
      <c r="A68" s="224"/>
      <c r="B68" s="68"/>
      <c r="C68" s="249" t="str">
        <f>IF(((SUM(B31:B34))&gt;0),"As you will be in places not allowed by your government you are not entitled to Federal Loans - only private loans","")</f>
        <v/>
      </c>
      <c r="D68" s="247"/>
      <c r="E68" s="25"/>
      <c r="F68" s="323"/>
      <c r="G68" s="287" t="s">
        <v>57</v>
      </c>
      <c r="H68" s="288">
        <f>ROUND((-I37),0)</f>
        <v>0</v>
      </c>
      <c r="J68" s="255" t="s">
        <v>178</v>
      </c>
      <c r="K68" s="286"/>
      <c r="L68" s="286"/>
      <c r="M68" s="255"/>
      <c r="N68" s="274"/>
    </row>
    <row r="69" spans="1:24" s="104" customFormat="1" ht="21.6" thickBot="1" x14ac:dyDescent="0.45">
      <c r="A69" s="336">
        <v>4</v>
      </c>
      <c r="B69" s="345"/>
      <c r="C69" s="346" t="s">
        <v>382</v>
      </c>
      <c r="D69" s="347"/>
      <c r="E69" s="348"/>
      <c r="F69" s="349"/>
      <c r="G69" s="293" t="s">
        <v>36</v>
      </c>
      <c r="H69" s="294">
        <f>ROUND((SUM(H67:H68)),0)</f>
        <v>26910</v>
      </c>
      <c r="I69" s="262"/>
      <c r="J69" s="262" t="s">
        <v>179</v>
      </c>
      <c r="K69" s="286">
        <f>IF((N64=0),(K58-K62-L66+M62+M66),0)</f>
        <v>21468.244999999999</v>
      </c>
      <c r="L69" s="286"/>
      <c r="M69" s="295"/>
      <c r="N69" s="295"/>
      <c r="O69" s="301"/>
      <c r="P69" s="255"/>
      <c r="Q69" s="262"/>
      <c r="R69" s="262"/>
      <c r="S69" s="192"/>
      <c r="T69" s="191"/>
      <c r="U69" s="191"/>
      <c r="V69" s="191"/>
      <c r="W69" s="191"/>
      <c r="X69" s="191"/>
    </row>
    <row r="70" spans="1:24" ht="18" thickTop="1" x14ac:dyDescent="0.3">
      <c r="A70" s="224"/>
      <c r="B70" s="68"/>
      <c r="C70" s="78" t="str">
        <f>IF((A45&gt;0),"",(IF((D34="N"),L28,G76)))</f>
        <v>Subsidised - Adjusted by EFC</v>
      </c>
      <c r="D70" s="387">
        <f>IF((A45&gt;0),0,H76)</f>
        <v>3500</v>
      </c>
      <c r="E70" s="25" t="str">
        <f>IF((N60&gt;0),"Grossed up for fees","")</f>
        <v/>
      </c>
      <c r="F70" s="323"/>
      <c r="G70" s="262" t="s">
        <v>411</v>
      </c>
      <c r="H70" s="286">
        <f>SUM(I49:I52)</f>
        <v>0</v>
      </c>
      <c r="K70" s="286"/>
      <c r="L70" s="286"/>
      <c r="M70" s="295"/>
      <c r="N70" s="295"/>
      <c r="O70" s="302"/>
    </row>
    <row r="71" spans="1:24" ht="18" customHeight="1" thickBot="1" x14ac:dyDescent="0.35">
      <c r="A71" s="224"/>
      <c r="B71" s="68"/>
      <c r="C71" s="78" t="str">
        <f>IF((A45&gt;0),"",G77)</f>
        <v>Unsubsudised</v>
      </c>
      <c r="D71" s="387">
        <f>IF((A45&gt;0),0,H77)</f>
        <v>2000</v>
      </c>
      <c r="E71" s="25" t="str">
        <f>IF((N64&gt;0),"Grossed up for fees","")</f>
        <v/>
      </c>
      <c r="F71" s="323"/>
      <c r="G71" s="368" t="s">
        <v>412</v>
      </c>
      <c r="H71" s="369">
        <f>SUM(H69:H70)</f>
        <v>26910</v>
      </c>
      <c r="J71" s="262" t="s">
        <v>180</v>
      </c>
      <c r="K71" s="286">
        <f>IF((D29="Y"),0,(H5-K62-L66))</f>
        <v>58177</v>
      </c>
      <c r="L71" s="286" t="s">
        <v>439</v>
      </c>
      <c r="N71" s="295"/>
      <c r="O71" s="302"/>
    </row>
    <row r="72" spans="1:24" ht="15.6" customHeight="1" thickTop="1" x14ac:dyDescent="0.3">
      <c r="A72" s="224" t="s">
        <v>422</v>
      </c>
      <c r="B72" s="68"/>
      <c r="C72" s="78" t="str">
        <f>G78</f>
        <v/>
      </c>
      <c r="D72" s="387"/>
      <c r="E72" s="80"/>
      <c r="F72" s="323"/>
      <c r="K72" s="286"/>
      <c r="L72" s="286"/>
      <c r="O72" s="307"/>
    </row>
    <row r="73" spans="1:24" ht="15" x14ac:dyDescent="0.25">
      <c r="A73" s="224" t="s">
        <v>421</v>
      </c>
      <c r="B73" s="68"/>
      <c r="C73" s="78" t="str">
        <f>IF((A45&gt;0),"",G79)</f>
        <v>Maximum PLUS Loan allowed for this CoA before grossing up for fees</v>
      </c>
      <c r="D73" s="387">
        <f>IF((A45&gt;0),0,H79)</f>
        <v>21410</v>
      </c>
      <c r="F73" s="323"/>
      <c r="J73" s="255" t="s">
        <v>55</v>
      </c>
      <c r="K73" s="289">
        <f>IF((D28="Y"),0,(IF((((K69/(100-N53)*100))&lt;K71),((K69/(100-N53)*100)),(((K71+M62+M66)/(100-N53))*100))))</f>
        <v>22417.865795079568</v>
      </c>
      <c r="L73" s="286"/>
      <c r="M73" s="286"/>
      <c r="O73" s="304"/>
    </row>
    <row r="74" spans="1:24" ht="21" x14ac:dyDescent="0.4">
      <c r="A74" s="224"/>
      <c r="B74" s="68"/>
      <c r="C74" s="334" t="str">
        <f>G81</f>
        <v/>
      </c>
      <c r="D74" s="398">
        <f>H81</f>
        <v>0</v>
      </c>
      <c r="E74" s="25"/>
      <c r="F74" s="318"/>
      <c r="G74" s="296" t="s">
        <v>325</v>
      </c>
      <c r="H74" s="297" t="s">
        <v>25</v>
      </c>
      <c r="L74" s="286"/>
      <c r="N74" s="286"/>
      <c r="O74" s="304"/>
    </row>
    <row r="75" spans="1:24" ht="21.6" thickBot="1" x14ac:dyDescent="0.45">
      <c r="A75" s="224"/>
      <c r="B75" s="68"/>
      <c r="C75" s="81" t="str">
        <f>IF((A45&gt;0),"",G82)</f>
        <v>Total Eligible before adjustment for Fees</v>
      </c>
      <c r="D75" s="388">
        <f>IF((A45&gt;0),0,H82)</f>
        <v>26910</v>
      </c>
      <c r="E75" s="25"/>
      <c r="F75" s="323"/>
      <c r="G75" s="296" t="s">
        <v>337</v>
      </c>
      <c r="H75" s="297"/>
      <c r="J75" s="255" t="s">
        <v>331</v>
      </c>
      <c r="N75" s="298"/>
      <c r="O75" s="304"/>
    </row>
    <row r="76" spans="1:24" ht="18" thickTop="1" x14ac:dyDescent="0.3">
      <c r="A76" s="228">
        <v>5</v>
      </c>
      <c r="B76" s="218"/>
      <c r="C76" s="219" t="s">
        <v>167</v>
      </c>
      <c r="D76" s="27"/>
      <c r="E76" s="28"/>
      <c r="F76" s="323"/>
      <c r="G76" s="287" t="s">
        <v>56</v>
      </c>
      <c r="H76" s="286">
        <f>K62</f>
        <v>3500</v>
      </c>
      <c r="J76" s="262">
        <f>(IF(AND(D35="N",D34="Y"),1,0))+(IF((D38="I"),1,0))</f>
        <v>1</v>
      </c>
      <c r="K76" s="262" t="s">
        <v>336</v>
      </c>
      <c r="N76" s="298"/>
      <c r="O76" s="304"/>
      <c r="P76" s="286"/>
    </row>
    <row r="77" spans="1:24" ht="17.399999999999999" x14ac:dyDescent="0.3">
      <c r="A77" s="224"/>
      <c r="B77" s="68"/>
      <c r="C77" s="23" t="str">
        <f>IF(H67&gt;H5, I95,"  ")</f>
        <v xml:space="preserve">  </v>
      </c>
      <c r="D77" s="29"/>
      <c r="E77" s="30"/>
      <c r="F77" s="324"/>
      <c r="G77" s="287" t="s">
        <v>35</v>
      </c>
      <c r="H77" s="286">
        <f>L66</f>
        <v>2000</v>
      </c>
      <c r="P77" s="286"/>
    </row>
    <row r="78" spans="1:24" ht="18" thickBot="1" x14ac:dyDescent="0.35">
      <c r="A78" s="224"/>
      <c r="B78" s="68"/>
      <c r="C78" s="24" t="str">
        <f>IF((A45&gt;0),"",(IF(H67&gt;H5, I96,I97)))</f>
        <v>You are allowed to borrow up to the values above</v>
      </c>
      <c r="D78" s="31"/>
      <c r="E78" s="32"/>
      <c r="F78" s="324"/>
      <c r="G78" s="287" t="str">
        <f>IF((J76=2),K76,(IF((H69&gt;H5),"PLUS Loan to fulfil this CoA","")))</f>
        <v/>
      </c>
    </row>
    <row r="79" spans="1:24" ht="17.399999999999999" x14ac:dyDescent="0.3">
      <c r="A79" s="229">
        <v>6</v>
      </c>
      <c r="B79" s="220"/>
      <c r="C79" s="221" t="str">
        <f>IF((D27=G12),"THIS SECTION DOES NOT APPLY TO SALLIE MAE LOANS","YOU TELL US HOW MUCH WOULD YOU LIKE TO BORROW - YOU MAY REDUCE THE FIGURES IN BLUE")</f>
        <v>YOU TELL US HOW MUCH WOULD YOU LIKE TO BORROW - YOU MAY REDUCE THE FIGURES IN BLUE</v>
      </c>
      <c r="D79" s="222"/>
      <c r="E79" s="223"/>
      <c r="F79" s="324"/>
      <c r="G79" s="287" t="str">
        <f>IF((J76=2),"","Maximum PLUS Loan allowed for this CoA before grossing up for fees")</f>
        <v>Maximum PLUS Loan allowed for this CoA before grossing up for fees</v>
      </c>
      <c r="H79" s="299">
        <f>IF((J76=2),"",(IF((K69&lt;K71),(K69-M66-M62),K71)))</f>
        <v>21410</v>
      </c>
      <c r="I79" s="255"/>
    </row>
    <row r="80" spans="1:24" ht="52.2" x14ac:dyDescent="0.25">
      <c r="A80" s="230" t="s">
        <v>363</v>
      </c>
      <c r="B80" s="181" t="s">
        <v>166</v>
      </c>
      <c r="C80" s="364" t="s">
        <v>191</v>
      </c>
      <c r="D80" s="365" t="s">
        <v>364</v>
      </c>
      <c r="E80" s="182" t="s">
        <v>91</v>
      </c>
      <c r="F80" s="325"/>
      <c r="G80" s="287" t="s">
        <v>350</v>
      </c>
      <c r="H80" s="299"/>
      <c r="I80" s="262" t="s">
        <v>431</v>
      </c>
      <c r="J80" s="262" t="s">
        <v>432</v>
      </c>
    </row>
    <row r="81" spans="1:32" ht="15.6" x14ac:dyDescent="0.25">
      <c r="A81" s="392">
        <f>IF((A45&gt;0),0,(IF((D27=G12),0,G89)))</f>
        <v>3500</v>
      </c>
      <c r="B81" s="183">
        <f>O51</f>
        <v>1.059E-2</v>
      </c>
      <c r="C81" s="184" t="str">
        <f>C70</f>
        <v>Subsidised - Adjusted by EFC</v>
      </c>
      <c r="D81" s="389">
        <f>A81</f>
        <v>3500</v>
      </c>
      <c r="E81" s="390">
        <f>ROUND(((D81*(1-O51))),0)</f>
        <v>3463</v>
      </c>
      <c r="F81" s="326"/>
      <c r="G81" s="396" t="str">
        <f>IF((H81&gt;1),("Private (Salie Mae) Loan"),"")</f>
        <v/>
      </c>
      <c r="H81" s="83">
        <f>MAX(I81:J81)</f>
        <v>0</v>
      </c>
      <c r="I81" s="262" t="str">
        <f>IF((D29="Y"),H71,"")</f>
        <v/>
      </c>
      <c r="J81" s="262" t="str">
        <f>IF((D28="Y"),(H79+M62+M66),"")</f>
        <v/>
      </c>
    </row>
    <row r="82" spans="1:32" s="159" customFormat="1" ht="16.2" thickBot="1" x14ac:dyDescent="0.35">
      <c r="A82" s="392">
        <f>IF((A45&gt;0),0,(IF((D27=G12),0,G90)))</f>
        <v>2000</v>
      </c>
      <c r="B82" s="183">
        <f>O52</f>
        <v>1.059E-2</v>
      </c>
      <c r="C82" s="184" t="s">
        <v>35</v>
      </c>
      <c r="D82" s="389">
        <f>A82</f>
        <v>2000</v>
      </c>
      <c r="E82" s="390">
        <f>ROUND(((D82*(1-O52))),0)</f>
        <v>1979</v>
      </c>
      <c r="F82" s="326"/>
      <c r="G82" s="293" t="s">
        <v>174</v>
      </c>
      <c r="H82" s="300">
        <f>SUM(H76:H80)</f>
        <v>26910</v>
      </c>
      <c r="P82" s="301"/>
      <c r="Q82" s="301"/>
      <c r="R82" s="262"/>
      <c r="S82" s="192"/>
      <c r="T82" s="192"/>
      <c r="U82" s="192"/>
      <c r="V82" s="192"/>
      <c r="W82" s="192"/>
      <c r="X82" s="192"/>
      <c r="Y82"/>
      <c r="Z82"/>
      <c r="AA82"/>
      <c r="AB82"/>
      <c r="AC82"/>
      <c r="AD82"/>
      <c r="AE82"/>
      <c r="AF82"/>
    </row>
    <row r="83" spans="1:32" s="160" customFormat="1" ht="18" thickTop="1" x14ac:dyDescent="0.3">
      <c r="A83" s="392">
        <f>G91</f>
        <v>0</v>
      </c>
      <c r="B83" s="183">
        <v>0</v>
      </c>
      <c r="C83" s="184" t="str">
        <f>G81</f>
        <v/>
      </c>
      <c r="D83" s="389">
        <f>G91</f>
        <v>0</v>
      </c>
      <c r="E83" s="390">
        <f>H91</f>
        <v>0</v>
      </c>
      <c r="F83" s="326"/>
      <c r="G83" s="83"/>
      <c r="H83" s="83"/>
      <c r="I83" s="262"/>
      <c r="P83" s="302"/>
      <c r="Q83" s="302"/>
      <c r="R83" s="301"/>
      <c r="S83" s="194"/>
      <c r="T83" s="194"/>
      <c r="U83" s="194"/>
      <c r="V83" s="194"/>
      <c r="W83" s="194"/>
      <c r="X83" s="194"/>
      <c r="Y83" s="159"/>
      <c r="Z83" s="159"/>
      <c r="AA83" s="159"/>
      <c r="AB83" s="159"/>
      <c r="AC83" s="159"/>
      <c r="AD83" s="159"/>
      <c r="AE83" s="159"/>
      <c r="AF83" s="159"/>
    </row>
    <row r="84" spans="1:32" s="180" customFormat="1" ht="17.399999999999999" x14ac:dyDescent="0.3">
      <c r="A84" s="392">
        <f>IF((A45&gt;0),0,(IF((D27=G12),0,G92)))</f>
        <v>22418</v>
      </c>
      <c r="B84" s="183">
        <f>O53</f>
        <v>4.2360000000000002E-2</v>
      </c>
      <c r="C84" s="184" t="str">
        <f>IF((J76=2),K76,"PLUS Loan (Adjusted up to include all fees)")</f>
        <v>PLUS Loan (Adjusted up to include all fees)</v>
      </c>
      <c r="D84" s="389">
        <f>IF((A84=""),0,((ROUND(A84,0))))</f>
        <v>22418</v>
      </c>
      <c r="E84" s="390">
        <f>ROUND(((D84*(1-O53))),0)</f>
        <v>21468</v>
      </c>
      <c r="F84" s="327" t="str">
        <f>IF((D81&gt;A81),("You cannot borrow more than  "&amp;A81),"")</f>
        <v/>
      </c>
      <c r="G84" s="302"/>
      <c r="H84" s="301" t="s">
        <v>60</v>
      </c>
      <c r="I84" s="262"/>
      <c r="P84" s="302"/>
      <c r="Q84" s="302"/>
      <c r="R84" s="302"/>
      <c r="S84" s="195"/>
      <c r="T84" s="195"/>
      <c r="U84" s="195"/>
      <c r="V84" s="195"/>
      <c r="W84" s="195"/>
      <c r="X84" s="195"/>
      <c r="Y84" s="160"/>
      <c r="Z84" s="160"/>
      <c r="AA84" s="160"/>
      <c r="AB84" s="160"/>
      <c r="AC84" s="160"/>
      <c r="AD84" s="160"/>
      <c r="AE84" s="160"/>
      <c r="AF84" s="160"/>
    </row>
    <row r="85" spans="1:32" s="180" customFormat="1" ht="18" thickBot="1" x14ac:dyDescent="0.35">
      <c r="A85" s="392">
        <f>IF((A45&gt;0),0,(IF((D27=G12),0,G93)))</f>
        <v>27918</v>
      </c>
      <c r="B85" s="185"/>
      <c r="C85" s="186" t="s">
        <v>164</v>
      </c>
      <c r="D85" s="391">
        <f>SUM(D81:D84)</f>
        <v>27918</v>
      </c>
      <c r="E85" s="391">
        <f>SUM(E81:E84)</f>
        <v>26910</v>
      </c>
      <c r="F85" s="327" t="str">
        <f>IF((D82&gt;A82),("You cannot borrow more than  "&amp;A82),"")</f>
        <v/>
      </c>
      <c r="G85" s="302"/>
      <c r="H85" s="301" t="s">
        <v>61</v>
      </c>
      <c r="I85" s="262"/>
      <c r="P85" s="307"/>
      <c r="Q85" s="307"/>
      <c r="R85" s="307"/>
      <c r="S85" s="197"/>
      <c r="T85" s="197"/>
      <c r="U85" s="197"/>
      <c r="V85" s="197"/>
      <c r="W85" s="197"/>
      <c r="X85" s="197"/>
    </row>
    <row r="86" spans="1:32" s="83" customFormat="1" ht="18" thickTop="1" x14ac:dyDescent="0.3">
      <c r="A86" s="231" t="s">
        <v>430</v>
      </c>
      <c r="B86" s="187"/>
      <c r="C86" s="188">
        <f>IF((A45&gt;0),"",(IF((D85&lt;(H5*1.04)),I99,I101)))</f>
        <v>0</v>
      </c>
      <c r="D86" s="35"/>
      <c r="E86" s="35"/>
      <c r="F86" s="327" t="str">
        <f>IF((D84&gt;A84),("You cannot borrow more than  "&amp;ROUND(A84,2)),"")</f>
        <v/>
      </c>
      <c r="G86" s="304"/>
      <c r="H86" s="305" t="s">
        <v>59</v>
      </c>
      <c r="I86" s="262"/>
      <c r="P86" s="304"/>
      <c r="Q86" s="304"/>
      <c r="R86" s="307"/>
      <c r="S86" s="197"/>
      <c r="T86" s="197"/>
      <c r="U86" s="197"/>
      <c r="V86" s="197"/>
      <c r="W86" s="197"/>
      <c r="X86" s="197"/>
      <c r="Y86" s="180"/>
      <c r="Z86" s="180"/>
      <c r="AA86" s="180"/>
      <c r="AB86" s="180"/>
      <c r="AC86" s="180"/>
      <c r="AD86" s="180"/>
      <c r="AE86" s="180"/>
      <c r="AF86" s="180"/>
    </row>
    <row r="87" spans="1:32" s="83" customFormat="1" ht="17.399999999999999" x14ac:dyDescent="0.3">
      <c r="A87" s="224"/>
      <c r="B87" s="17"/>
      <c r="C87" s="188">
        <f>IF((A45&gt;0),"",(IF((D85&lt;(H5*1.04)),I100,I107)))</f>
        <v>0</v>
      </c>
      <c r="D87" s="35"/>
      <c r="F87" s="327" t="str">
        <f>IF((D85&gt;A85),("You cannot borrow more than  "&amp;ROUND(A85,2)),"")</f>
        <v/>
      </c>
      <c r="G87" s="304"/>
      <c r="H87" s="307"/>
      <c r="I87" s="262"/>
      <c r="P87" s="304"/>
      <c r="Q87" s="304"/>
      <c r="R87" s="304"/>
      <c r="S87" s="196"/>
      <c r="T87" s="196"/>
      <c r="U87" s="196"/>
      <c r="V87" s="196"/>
      <c r="W87" s="196"/>
      <c r="X87" s="196"/>
    </row>
    <row r="88" spans="1:32" s="83" customFormat="1" ht="17.399999999999999" x14ac:dyDescent="0.3">
      <c r="A88" s="224"/>
      <c r="B88" s="17"/>
      <c r="C88" s="188" t="str">
        <f>IF((A45&gt;0),"REMEMBER - TELL US WHEN YOU HAVE DONE YOUR SALLIE MAE APPLICATION SO WE CAN CERTIFY IT","")</f>
        <v/>
      </c>
      <c r="D88" s="35"/>
      <c r="E88" s="328" t="str">
        <f>IF((E85&lt;&gt;D75),"Includes $"&amp;(ROUND((E85-D75),0))&amp;" rounding differences","")</f>
        <v/>
      </c>
      <c r="F88" s="329"/>
      <c r="G88" s="309" t="s">
        <v>139</v>
      </c>
      <c r="H88" s="308" t="s">
        <v>91</v>
      </c>
      <c r="I88" s="262"/>
      <c r="P88" s="304"/>
      <c r="Q88" s="304"/>
      <c r="R88" s="304"/>
      <c r="S88" s="196"/>
      <c r="T88" s="196"/>
      <c r="U88" s="196"/>
      <c r="V88" s="196"/>
      <c r="W88" s="196"/>
      <c r="X88" s="196"/>
    </row>
    <row r="89" spans="1:32" s="83" customFormat="1" ht="17.399999999999999" x14ac:dyDescent="0.3">
      <c r="A89" s="394">
        <v>8</v>
      </c>
      <c r="B89" s="350"/>
      <c r="C89" s="350" t="s">
        <v>386</v>
      </c>
      <c r="D89" s="350"/>
      <c r="E89" s="350"/>
      <c r="F89" s="329"/>
      <c r="G89" s="310">
        <f>ROUND(K62,0)</f>
        <v>3500</v>
      </c>
      <c r="H89" s="311">
        <f>ROUND(((G89*(1-O51))),0)</f>
        <v>3463</v>
      </c>
      <c r="I89" s="262" t="s">
        <v>436</v>
      </c>
      <c r="P89" s="304"/>
      <c r="Q89" s="304"/>
      <c r="R89" s="304"/>
      <c r="S89" s="196"/>
      <c r="T89" s="196"/>
      <c r="U89" s="196"/>
      <c r="V89" s="196"/>
      <c r="W89" s="196"/>
      <c r="X89" s="196"/>
    </row>
    <row r="90" spans="1:32" s="83" customFormat="1" ht="15" x14ac:dyDescent="0.25">
      <c r="A90" s="224"/>
      <c r="B90" s="198">
        <f>B81</f>
        <v>1.059E-2</v>
      </c>
      <c r="C90" s="189" t="str">
        <f>C81&amp;" Origination Fee of "&amp;L51&amp;"% less Interest Rebate of "&amp;M51&amp;"%"</f>
        <v>Subsidised - Adjusted by EFC Origination Fee of 1.059% less Interest Rebate of 0%</v>
      </c>
      <c r="D90" s="35"/>
      <c r="E90" s="68"/>
      <c r="F90" s="329"/>
      <c r="G90" s="310">
        <f>ROUND(L66,0)</f>
        <v>2000</v>
      </c>
      <c r="H90" s="311">
        <f>ROUND(((G90*(1-O52))),0)</f>
        <v>1979</v>
      </c>
      <c r="I90" s="262" t="s">
        <v>440</v>
      </c>
      <c r="N90" s="286"/>
      <c r="O90" s="304"/>
      <c r="P90" s="304"/>
      <c r="Q90" s="304"/>
      <c r="R90" s="314"/>
      <c r="S90" s="196"/>
      <c r="T90" s="196"/>
      <c r="U90" s="196"/>
      <c r="V90" s="196"/>
      <c r="W90" s="196"/>
      <c r="X90" s="196"/>
    </row>
    <row r="91" spans="1:32" s="83" customFormat="1" ht="15" x14ac:dyDescent="0.25">
      <c r="A91" s="224"/>
      <c r="B91" s="198">
        <f>B82</f>
        <v>1.059E-2</v>
      </c>
      <c r="C91" s="189" t="str">
        <f>C82&amp;" Origination Fee of "&amp;L52&amp;"% less Interest Rebate of "&amp;M52&amp;"%"</f>
        <v>Unsubsudised Origination Fee of 1.059% less Interest Rebate of 0%</v>
      </c>
      <c r="D91" s="35"/>
      <c r="E91" s="68"/>
      <c r="F91" s="329"/>
      <c r="G91" s="310">
        <f>H81</f>
        <v>0</v>
      </c>
      <c r="H91" s="311">
        <f>G91</f>
        <v>0</v>
      </c>
      <c r="I91" s="262" t="s">
        <v>435</v>
      </c>
      <c r="J91" s="262"/>
      <c r="K91" s="262"/>
      <c r="L91" s="262"/>
      <c r="M91" s="262"/>
      <c r="N91" s="286"/>
      <c r="O91" s="304"/>
      <c r="P91" s="314"/>
      <c r="Q91" s="314"/>
      <c r="R91" s="304"/>
      <c r="S91" s="196"/>
      <c r="T91" s="196"/>
      <c r="U91" s="196"/>
      <c r="V91" s="196"/>
      <c r="W91" s="196"/>
      <c r="X91" s="196"/>
    </row>
    <row r="92" spans="1:32" s="83" customFormat="1" ht="15" x14ac:dyDescent="0.25">
      <c r="A92" s="224"/>
      <c r="B92" s="198">
        <f>B84</f>
        <v>4.2360000000000002E-2</v>
      </c>
      <c r="C92" s="189" t="str">
        <f>C84&amp;" Origination Fee of "&amp;L53&amp;"% less Interest Rebate of "&amp;M53&amp;"%"</f>
        <v>PLUS Loan (Adjusted up to include all fees) Origination Fee of 4.236% less Interest Rebate of 0%</v>
      </c>
      <c r="D92" s="35"/>
      <c r="E92" s="68"/>
      <c r="F92" s="330"/>
      <c r="G92" s="310">
        <f>IF((J76=2),"",(ROUND(K73,0)))</f>
        <v>22418</v>
      </c>
      <c r="H92" s="311">
        <f>ROUND(((G92*(1-O53))),0)</f>
        <v>21468</v>
      </c>
      <c r="I92" s="262" t="s">
        <v>437</v>
      </c>
      <c r="J92" s="262"/>
      <c r="K92" s="262"/>
      <c r="L92" s="262"/>
      <c r="M92" s="262"/>
      <c r="N92" s="298"/>
      <c r="O92" s="304"/>
      <c r="P92" s="304"/>
      <c r="Q92" s="316"/>
      <c r="R92" s="304"/>
      <c r="S92" s="196"/>
      <c r="T92" s="196"/>
      <c r="U92" s="196"/>
      <c r="V92" s="196"/>
      <c r="W92" s="196"/>
      <c r="X92" s="196"/>
    </row>
    <row r="93" spans="1:32" s="83" customFormat="1" ht="21.6" thickBot="1" x14ac:dyDescent="0.45">
      <c r="A93" s="224"/>
      <c r="B93" s="68"/>
      <c r="C93" s="248" t="s">
        <v>365</v>
      </c>
      <c r="D93" s="35"/>
      <c r="E93" s="68"/>
      <c r="F93" s="330"/>
      <c r="G93" s="312">
        <f>SUM(G89:G92)</f>
        <v>27918</v>
      </c>
      <c r="H93" s="313">
        <f>SUM(H89:H92)</f>
        <v>26910</v>
      </c>
      <c r="I93" s="262" t="s">
        <v>438</v>
      </c>
      <c r="J93" s="262"/>
      <c r="K93" s="262"/>
      <c r="L93" s="262"/>
      <c r="M93" s="262"/>
      <c r="N93" s="298"/>
      <c r="O93" s="304"/>
      <c r="P93" s="304"/>
      <c r="Q93" s="304"/>
      <c r="R93" s="304"/>
      <c r="S93" s="196"/>
      <c r="T93" s="196"/>
      <c r="U93" s="196"/>
      <c r="V93" s="196"/>
      <c r="W93" s="196"/>
      <c r="X93" s="196"/>
    </row>
    <row r="94" spans="1:32" s="83" customFormat="1" ht="16.2" thickTop="1" x14ac:dyDescent="0.3">
      <c r="A94" s="224"/>
      <c r="B94" s="68"/>
      <c r="C94" s="68"/>
      <c r="D94" s="68"/>
      <c r="E94" s="68"/>
      <c r="F94" s="330"/>
      <c r="G94" s="304"/>
      <c r="I94" s="262"/>
      <c r="J94" s="301"/>
      <c r="K94" s="301"/>
      <c r="L94" s="301"/>
      <c r="M94" s="301"/>
      <c r="N94" s="301"/>
      <c r="O94" s="304"/>
      <c r="P94" s="304"/>
      <c r="Q94" s="304"/>
      <c r="R94" s="304"/>
      <c r="S94" s="196"/>
      <c r="T94" s="196"/>
      <c r="U94" s="196"/>
      <c r="V94" s="196"/>
      <c r="W94" s="196"/>
      <c r="X94" s="196"/>
    </row>
    <row r="95" spans="1:32" s="83" customFormat="1" ht="17.399999999999999" x14ac:dyDescent="0.3">
      <c r="A95" s="79"/>
      <c r="B95" s="34"/>
      <c r="C95"/>
      <c r="D95" s="16"/>
      <c r="E95" s="16"/>
      <c r="F95" s="344"/>
      <c r="G95" s="304"/>
      <c r="H95" s="305" t="s">
        <v>60</v>
      </c>
      <c r="I95" s="303" t="s">
        <v>74</v>
      </c>
      <c r="J95" s="302"/>
      <c r="K95" s="302"/>
      <c r="L95" s="302"/>
      <c r="M95" s="302"/>
      <c r="N95" s="302"/>
      <c r="O95" s="304"/>
      <c r="P95" s="304"/>
      <c r="Q95" s="304"/>
      <c r="R95" s="304"/>
      <c r="S95" s="196"/>
      <c r="T95" s="196"/>
      <c r="U95" s="196"/>
      <c r="V95" s="196"/>
      <c r="W95" s="196"/>
      <c r="X95" s="196"/>
    </row>
    <row r="96" spans="1:32" s="83" customFormat="1" ht="17.399999999999999" x14ac:dyDescent="0.3">
      <c r="A96" s="34"/>
      <c r="B96" s="34"/>
      <c r="C96"/>
      <c r="D96" s="16"/>
      <c r="E96" s="16"/>
      <c r="F96" s="344"/>
      <c r="G96" s="304"/>
      <c r="I96" s="303" t="s">
        <v>90</v>
      </c>
      <c r="J96" s="302"/>
      <c r="K96" s="302"/>
      <c r="L96" s="302"/>
      <c r="M96" s="302"/>
      <c r="N96" s="302"/>
      <c r="O96" s="304"/>
      <c r="P96" s="304"/>
      <c r="Q96" s="304"/>
      <c r="R96" s="304"/>
      <c r="S96" s="196"/>
      <c r="T96" s="196"/>
      <c r="U96" s="196"/>
      <c r="V96" s="196"/>
      <c r="W96" s="196"/>
      <c r="X96" s="196"/>
    </row>
    <row r="97" spans="1:32" s="83" customFormat="1" ht="17.399999999999999" x14ac:dyDescent="0.3">
      <c r="G97" s="304"/>
      <c r="I97" s="306" t="s">
        <v>76</v>
      </c>
      <c r="J97" s="307"/>
      <c r="K97" s="307"/>
      <c r="L97" s="307"/>
      <c r="M97" s="307"/>
      <c r="N97" s="307"/>
      <c r="O97" s="304"/>
      <c r="P97" s="304"/>
      <c r="Q97" s="304"/>
      <c r="R97" s="304"/>
      <c r="S97" s="196"/>
      <c r="T97" s="196"/>
      <c r="U97" s="196"/>
      <c r="V97" s="196"/>
      <c r="W97" s="196"/>
      <c r="X97" s="196"/>
    </row>
    <row r="98" spans="1:32" s="83" customFormat="1" ht="17.399999999999999" x14ac:dyDescent="0.3">
      <c r="I98" s="307"/>
      <c r="J98" s="304"/>
      <c r="K98" s="304"/>
      <c r="L98" s="304"/>
      <c r="M98" s="304"/>
      <c r="N98" s="304"/>
      <c r="O98" s="304"/>
      <c r="P98" s="304"/>
      <c r="Q98" s="304"/>
      <c r="R98" s="304"/>
      <c r="S98" s="196"/>
      <c r="T98" s="196"/>
      <c r="U98" s="196"/>
      <c r="V98" s="196"/>
      <c r="W98" s="196"/>
      <c r="X98" s="196"/>
    </row>
    <row r="99" spans="1:32" ht="17.399999999999999" x14ac:dyDescent="0.3">
      <c r="A99" s="83"/>
      <c r="B99" s="83"/>
      <c r="C99" s="83"/>
      <c r="D99" s="83"/>
      <c r="E99" s="83"/>
      <c r="F99" s="83"/>
      <c r="G99" s="83"/>
      <c r="H99" s="305"/>
      <c r="I99" s="315"/>
      <c r="J99" s="304"/>
      <c r="K99" s="304"/>
      <c r="L99" s="307"/>
      <c r="M99" s="307"/>
      <c r="N99" s="307"/>
      <c r="O99" s="304"/>
      <c r="P99" s="304"/>
      <c r="Q99" s="304"/>
      <c r="R99" s="304"/>
      <c r="S99" s="196"/>
      <c r="T99" s="196"/>
      <c r="U99" s="196"/>
      <c r="V99" s="196"/>
      <c r="W99" s="196"/>
      <c r="X99" s="196"/>
      <c r="Y99" s="83"/>
      <c r="Z99" s="83"/>
      <c r="AA99" s="83"/>
      <c r="AB99" s="83"/>
      <c r="AC99" s="83"/>
      <c r="AD99" s="83"/>
      <c r="AE99" s="83"/>
      <c r="AF99" s="83"/>
    </row>
    <row r="100" spans="1:32" ht="17.399999999999999" x14ac:dyDescent="0.3">
      <c r="H100" s="305"/>
      <c r="I100" s="315"/>
      <c r="J100" s="304"/>
      <c r="K100" s="304"/>
      <c r="L100" s="304"/>
      <c r="M100" s="304"/>
      <c r="N100" s="304"/>
    </row>
    <row r="101" spans="1:32" ht="17.399999999999999" x14ac:dyDescent="0.3">
      <c r="H101" s="305"/>
      <c r="I101" s="317"/>
      <c r="J101" s="304"/>
      <c r="K101" s="304"/>
      <c r="L101" s="304"/>
      <c r="M101" s="304"/>
      <c r="N101" s="304"/>
    </row>
    <row r="102" spans="1:32" x14ac:dyDescent="0.25">
      <c r="I102" s="304"/>
      <c r="J102" s="304"/>
      <c r="K102" s="304"/>
      <c r="L102" s="304"/>
      <c r="M102" s="304"/>
      <c r="N102" s="304"/>
    </row>
    <row r="103" spans="1:32" x14ac:dyDescent="0.25">
      <c r="I103" s="304"/>
      <c r="J103" s="304"/>
      <c r="K103" s="304"/>
      <c r="L103" s="304"/>
      <c r="M103" s="304"/>
      <c r="N103" s="304"/>
    </row>
    <row r="104" spans="1:32" x14ac:dyDescent="0.25">
      <c r="J104" s="304"/>
      <c r="K104" s="304"/>
      <c r="L104" s="304"/>
      <c r="M104" s="304"/>
      <c r="N104" s="304"/>
    </row>
    <row r="105" spans="1:32" x14ac:dyDescent="0.25">
      <c r="J105" s="304"/>
      <c r="K105" s="304"/>
      <c r="L105" s="304"/>
      <c r="M105" s="304"/>
      <c r="N105" s="304"/>
    </row>
    <row r="106" spans="1:32" x14ac:dyDescent="0.25">
      <c r="J106" s="304"/>
      <c r="K106" s="304"/>
      <c r="L106" s="304"/>
      <c r="M106" s="304"/>
      <c r="N106" s="304"/>
    </row>
    <row r="107" spans="1:32" ht="21" x14ac:dyDescent="0.4">
      <c r="A107" s="395"/>
      <c r="I107" s="304"/>
      <c r="J107" s="304"/>
      <c r="K107" s="304"/>
      <c r="L107" s="304"/>
      <c r="M107" s="304"/>
      <c r="N107" s="304"/>
    </row>
  </sheetData>
  <sheetProtection selectLockedCells="1"/>
  <phoneticPr fontId="5" type="noConversion"/>
  <conditionalFormatting sqref="D70:D73 D75">
    <cfRule type="cellIs" dxfId="6" priority="20" stopIfTrue="1" operator="equal">
      <formula>0</formula>
    </cfRule>
  </conditionalFormatting>
  <conditionalFormatting sqref="D35:D37 C35:C36">
    <cfRule type="cellIs" dxfId="5" priority="22" stopIfTrue="1" operator="equal">
      <formula>"Do not adjust this line"</formula>
    </cfRule>
  </conditionalFormatting>
  <conditionalFormatting sqref="C33">
    <cfRule type="cellIs" dxfId="4" priority="23" stopIfTrue="1" operator="equal">
      <formula>"do not adjust this line"</formula>
    </cfRule>
  </conditionalFormatting>
  <conditionalFormatting sqref="E33">
    <cfRule type="cellIs" dxfId="3" priority="25" stopIfTrue="1" operator="equal">
      <formula>"https://fafsa.ed.gov/FAFSA/app/schoolSearch?locale=en_EN"</formula>
    </cfRule>
  </conditionalFormatting>
  <dataValidations count="5">
    <dataValidation type="list" allowBlank="1" showInputMessage="1" showErrorMessage="1" sqref="D27:D36" xr:uid="{00000000-0002-0000-0100-000000000000}">
      <formula1>$H$9:$H$10</formula1>
    </dataValidation>
    <dataValidation type="list" allowBlank="1" showInputMessage="1" showErrorMessage="1" sqref="D38" xr:uid="{00000000-0002-0000-0100-000001000000}">
      <formula1>$G$9:$G$10</formula1>
    </dataValidation>
    <dataValidation type="list" allowBlank="1" showInputMessage="1" showErrorMessage="1" sqref="D37" xr:uid="{00000000-0002-0000-0100-000002000000}">
      <formula1>$I$9:$I$11</formula1>
    </dataValidation>
    <dataValidation type="list" allowBlank="1" showInputMessage="1" showErrorMessage="1" sqref="F38" xr:uid="{00000000-0002-0000-0100-000003000000}">
      <formula1>$I$9:$I$23</formula1>
    </dataValidation>
    <dataValidation type="list" showInputMessage="1" showErrorMessage="1" sqref="E62:E65" xr:uid="{00000000-0002-0000-0100-000004000000}">
      <formula1>$J$9:$J$10</formula1>
    </dataValidation>
  </dataValidations>
  <hyperlinks>
    <hyperlink ref="E33" r:id="rId1" display="https://fafsa.ed.gov/FAFSA/app/schoolSearch?locale=en_EN" xr:uid="{00000000-0004-0000-0100-000000000000}"/>
  </hyperlinks>
  <printOptions horizontalCentered="1" verticalCentered="1"/>
  <pageMargins left="0.31496062992125984" right="0.19685039370078741" top="0.19685039370078741" bottom="0.39370078740157483" header="0" footer="0"/>
  <pageSetup paperSize="9" scale="51" orientation="portrait" r:id="rId2"/>
  <headerFooter alignWithMargins="0"/>
  <ignoredErrors>
    <ignoredError sqref="C24" numberStoredAsText="1"/>
  </ignoredError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K62"/>
  <sheetViews>
    <sheetView zoomScale="75" workbookViewId="0">
      <selection activeCell="D11" sqref="D11"/>
    </sheetView>
  </sheetViews>
  <sheetFormatPr defaultColWidth="9.109375" defaultRowHeight="13.2" x14ac:dyDescent="0.25"/>
  <cols>
    <col min="1" max="1" width="9.109375" style="171"/>
    <col min="2" max="2" width="32.109375" style="85" customWidth="1"/>
    <col min="3" max="3" width="38.109375" style="85" bestFit="1" customWidth="1"/>
    <col min="4" max="4" width="16.33203125" style="85" customWidth="1"/>
    <col min="5" max="5" width="14" style="85" customWidth="1"/>
    <col min="6" max="6" width="5.109375" style="119" customWidth="1"/>
    <col min="7" max="7" width="72.6640625" style="85" customWidth="1"/>
    <col min="8" max="8" width="14.33203125" style="85" customWidth="1"/>
    <col min="9" max="9" width="19.5546875" style="85" customWidth="1"/>
    <col min="10" max="10" width="14.33203125" style="85" customWidth="1"/>
    <col min="11" max="16384" width="9.109375" style="85"/>
  </cols>
  <sheetData>
    <row r="1" spans="1:11" s="176" customFormat="1" ht="21" x14ac:dyDescent="0.4">
      <c r="A1" s="199"/>
      <c r="B1" s="175" t="s">
        <v>297</v>
      </c>
      <c r="C1" s="175"/>
      <c r="D1" s="175" t="s">
        <v>374</v>
      </c>
      <c r="E1" s="175"/>
      <c r="F1" s="202"/>
      <c r="G1" s="175"/>
      <c r="H1" s="175"/>
      <c r="I1" s="175"/>
      <c r="J1" s="175"/>
    </row>
    <row r="2" spans="1:11" s="117" customFormat="1" ht="15.6" x14ac:dyDescent="0.3">
      <c r="A2" s="200"/>
      <c r="D2" s="116" t="s">
        <v>311</v>
      </c>
      <c r="E2" s="116"/>
      <c r="F2" s="203"/>
      <c r="G2" s="116"/>
      <c r="H2" s="116"/>
      <c r="I2" s="116"/>
      <c r="J2" s="116"/>
    </row>
    <row r="3" spans="1:11" s="124" customFormat="1" ht="15.6" x14ac:dyDescent="0.3">
      <c r="A3" s="201"/>
      <c r="D3" s="124" t="s">
        <v>256</v>
      </c>
      <c r="F3" s="201"/>
      <c r="H3" s="124" t="s">
        <v>257</v>
      </c>
    </row>
    <row r="4" spans="1:11" s="124" customFormat="1" ht="15.6" x14ac:dyDescent="0.3">
      <c r="A4" s="201"/>
      <c r="F4" s="201"/>
    </row>
    <row r="5" spans="1:11" x14ac:dyDescent="0.25">
      <c r="D5" s="173" t="s">
        <v>315</v>
      </c>
      <c r="E5" s="174"/>
      <c r="H5" s="173" t="s">
        <v>316</v>
      </c>
      <c r="I5" s="174"/>
      <c r="J5" s="173"/>
      <c r="K5" s="208"/>
    </row>
    <row r="6" spans="1:11" s="84" customFormat="1" x14ac:dyDescent="0.25">
      <c r="A6" s="171">
        <v>1</v>
      </c>
      <c r="B6" s="84" t="s">
        <v>215</v>
      </c>
      <c r="C6" s="118" t="s">
        <v>238</v>
      </c>
      <c r="D6" s="168" t="s">
        <v>463</v>
      </c>
      <c r="F6" s="171">
        <v>6</v>
      </c>
      <c r="G6" s="84" t="s">
        <v>236</v>
      </c>
      <c r="H6" s="85"/>
    </row>
    <row r="7" spans="1:11" x14ac:dyDescent="0.25">
      <c r="C7" s="118" t="s">
        <v>216</v>
      </c>
      <c r="D7" s="164">
        <v>45194</v>
      </c>
      <c r="E7" s="125">
        <f>D7+364</f>
        <v>45558</v>
      </c>
      <c r="G7" s="85" t="s">
        <v>338</v>
      </c>
      <c r="H7" s="163">
        <v>20000</v>
      </c>
      <c r="I7" s="126"/>
      <c r="J7" s="127">
        <f>H7</f>
        <v>20000</v>
      </c>
    </row>
    <row r="8" spans="1:11" x14ac:dyDescent="0.25">
      <c r="C8" s="118" t="s">
        <v>288</v>
      </c>
      <c r="D8" s="164">
        <v>45078</v>
      </c>
      <c r="H8" s="128"/>
      <c r="I8" s="126"/>
      <c r="J8" s="126"/>
    </row>
    <row r="9" spans="1:11" s="84" customFormat="1" x14ac:dyDescent="0.25">
      <c r="A9" s="171"/>
      <c r="B9" s="84" t="s">
        <v>218</v>
      </c>
      <c r="D9" s="120"/>
      <c r="F9" s="171">
        <v>7</v>
      </c>
      <c r="G9" s="84" t="s">
        <v>239</v>
      </c>
      <c r="H9" s="173" t="s">
        <v>318</v>
      </c>
      <c r="I9" s="174"/>
      <c r="J9" s="173"/>
    </row>
    <row r="10" spans="1:11" s="84" customFormat="1" x14ac:dyDescent="0.25">
      <c r="A10" s="171"/>
      <c r="B10" s="85" t="s">
        <v>217</v>
      </c>
      <c r="D10" s="164">
        <v>45180</v>
      </c>
      <c r="E10" s="130" t="s">
        <v>247</v>
      </c>
      <c r="F10" s="171"/>
      <c r="G10" s="85" t="s">
        <v>240</v>
      </c>
      <c r="H10" s="216">
        <v>100</v>
      </c>
      <c r="I10" s="131"/>
      <c r="J10" s="129"/>
    </row>
    <row r="11" spans="1:11" s="84" customFormat="1" x14ac:dyDescent="0.25">
      <c r="A11" s="171"/>
      <c r="B11" s="85" t="s">
        <v>258</v>
      </c>
      <c r="D11" s="164">
        <v>45504</v>
      </c>
      <c r="E11" s="132">
        <f>ROUND(((MAX(D11:D12)-D10)/7),0)</f>
        <v>46</v>
      </c>
      <c r="F11" s="171"/>
      <c r="G11" s="85" t="s">
        <v>245</v>
      </c>
      <c r="H11" s="216">
        <v>200</v>
      </c>
      <c r="I11" s="127">
        <f>MAX(H10:H11)</f>
        <v>200</v>
      </c>
      <c r="J11" s="133" t="s">
        <v>393</v>
      </c>
    </row>
    <row r="12" spans="1:11" s="84" customFormat="1" x14ac:dyDescent="0.25">
      <c r="A12" s="171"/>
      <c r="B12" s="121" t="s">
        <v>259</v>
      </c>
      <c r="C12" s="85" t="s">
        <v>260</v>
      </c>
      <c r="D12" s="164">
        <v>45504</v>
      </c>
      <c r="E12" s="130" t="s">
        <v>279</v>
      </c>
      <c r="F12" s="171"/>
      <c r="G12" s="85" t="s">
        <v>295</v>
      </c>
      <c r="H12" s="216">
        <v>40</v>
      </c>
      <c r="I12" s="129"/>
      <c r="J12" s="129"/>
    </row>
    <row r="13" spans="1:11" s="118" customFormat="1" x14ac:dyDescent="0.25">
      <c r="A13" s="171"/>
      <c r="D13" s="87"/>
      <c r="E13" s="130">
        <v>52</v>
      </c>
      <c r="F13" s="171"/>
      <c r="G13" s="85" t="s">
        <v>278</v>
      </c>
      <c r="H13" s="216">
        <v>40</v>
      </c>
      <c r="I13" s="361">
        <f>SUM(H12:H13)</f>
        <v>80</v>
      </c>
      <c r="J13" s="133" t="s">
        <v>394</v>
      </c>
    </row>
    <row r="14" spans="1:11" x14ac:dyDescent="0.25">
      <c r="A14" s="171">
        <v>2</v>
      </c>
      <c r="B14" s="84" t="s">
        <v>219</v>
      </c>
      <c r="C14" s="118"/>
      <c r="D14" s="120"/>
      <c r="G14" s="85" t="s">
        <v>243</v>
      </c>
      <c r="H14" s="216">
        <v>10</v>
      </c>
      <c r="I14" s="126"/>
      <c r="J14" s="126"/>
    </row>
    <row r="15" spans="1:11" x14ac:dyDescent="0.25">
      <c r="B15" s="84" t="s">
        <v>246</v>
      </c>
      <c r="D15" s="120"/>
      <c r="G15" s="85" t="s">
        <v>244</v>
      </c>
      <c r="H15" s="216">
        <v>20</v>
      </c>
      <c r="I15" s="126"/>
      <c r="J15" s="126"/>
    </row>
    <row r="16" spans="1:11" x14ac:dyDescent="0.25">
      <c r="B16" s="118" t="s">
        <v>220</v>
      </c>
      <c r="D16" s="120"/>
      <c r="G16" s="85" t="s">
        <v>310</v>
      </c>
      <c r="H16" s="216">
        <v>50</v>
      </c>
      <c r="I16" s="127">
        <f>SUM(H12:H16)</f>
        <v>160</v>
      </c>
      <c r="J16" s="127">
        <f>(SUM(I11:I16))*E13</f>
        <v>22880</v>
      </c>
    </row>
    <row r="17" spans="1:11" x14ac:dyDescent="0.25">
      <c r="B17" s="118" t="s">
        <v>296</v>
      </c>
      <c r="D17" s="173" t="s">
        <v>330</v>
      </c>
      <c r="E17" s="174"/>
      <c r="H17" s="120"/>
      <c r="I17" s="126"/>
      <c r="J17" s="126"/>
    </row>
    <row r="18" spans="1:11" x14ac:dyDescent="0.25">
      <c r="B18" s="85" t="s">
        <v>221</v>
      </c>
      <c r="D18" s="164">
        <v>45194</v>
      </c>
      <c r="E18" s="125">
        <f>D19-1</f>
        <v>45319</v>
      </c>
      <c r="F18" s="119">
        <v>8</v>
      </c>
      <c r="G18" s="84" t="s">
        <v>249</v>
      </c>
      <c r="H18" s="120"/>
      <c r="I18" s="126"/>
      <c r="J18" s="126"/>
    </row>
    <row r="19" spans="1:11" x14ac:dyDescent="0.25">
      <c r="B19" s="85" t="s">
        <v>223</v>
      </c>
      <c r="D19" s="164">
        <v>45320</v>
      </c>
      <c r="E19" s="125">
        <f>IF((D20&gt;0),(D20-1),(MAX(D10:D11)))</f>
        <v>45410</v>
      </c>
      <c r="G19" s="85" t="s">
        <v>357</v>
      </c>
      <c r="H19" s="216">
        <v>1000</v>
      </c>
      <c r="I19" s="127">
        <f>H19*2</f>
        <v>2000</v>
      </c>
      <c r="J19" s="358" t="s">
        <v>395</v>
      </c>
    </row>
    <row r="20" spans="1:11" x14ac:dyDescent="0.25">
      <c r="B20" s="85" t="s">
        <v>222</v>
      </c>
      <c r="D20" s="164">
        <v>45411</v>
      </c>
      <c r="E20" s="125">
        <f>IF((D21&gt;0),(D21-1),(MAX(D11:D12)))</f>
        <v>45504</v>
      </c>
      <c r="G20" s="85" t="s">
        <v>356</v>
      </c>
      <c r="H20" s="216">
        <v>400</v>
      </c>
      <c r="I20" s="359"/>
      <c r="J20" s="360"/>
    </row>
    <row r="21" spans="1:11" x14ac:dyDescent="0.25">
      <c r="B21" s="85" t="s">
        <v>224</v>
      </c>
      <c r="D21" s="164"/>
      <c r="E21" s="125">
        <f>IF((D22&gt;0),(D22-1),(MAX(D11:D12)))</f>
        <v>45504</v>
      </c>
      <c r="G21" s="85" t="s">
        <v>375</v>
      </c>
      <c r="H21" s="216">
        <v>600</v>
      </c>
      <c r="I21" s="359"/>
      <c r="J21" s="360"/>
    </row>
    <row r="22" spans="1:11" x14ac:dyDescent="0.25">
      <c r="E22" s="125">
        <f>E18</f>
        <v>45319</v>
      </c>
      <c r="F22" s="204" t="s">
        <v>298</v>
      </c>
      <c r="G22" s="215" t="s">
        <v>464</v>
      </c>
      <c r="H22" s="216">
        <v>833</v>
      </c>
      <c r="I22" s="127">
        <f>SUM(H20:H22)</f>
        <v>1833</v>
      </c>
      <c r="J22" s="360" t="s">
        <v>396</v>
      </c>
    </row>
    <row r="23" spans="1:11" x14ac:dyDescent="0.25">
      <c r="A23" s="171">
        <v>3</v>
      </c>
      <c r="B23" s="84" t="s">
        <v>274</v>
      </c>
      <c r="D23" s="120"/>
      <c r="E23" s="125">
        <f>IF((D20&gt;1),(D20-1),E7)</f>
        <v>45410</v>
      </c>
      <c r="F23" s="204" t="s">
        <v>299</v>
      </c>
      <c r="G23" s="165" t="s">
        <v>397</v>
      </c>
      <c r="H23" s="216">
        <v>0</v>
      </c>
      <c r="I23" s="359"/>
      <c r="J23" s="360"/>
    </row>
    <row r="24" spans="1:11" x14ac:dyDescent="0.25">
      <c r="C24" s="118" t="s">
        <v>241</v>
      </c>
      <c r="D24" s="120"/>
      <c r="E24" s="125">
        <f>IF((D21&gt;1),(D21-1),E7)</f>
        <v>45558</v>
      </c>
      <c r="F24" s="204" t="s">
        <v>300</v>
      </c>
      <c r="G24" s="165" t="s">
        <v>398</v>
      </c>
      <c r="H24" s="216">
        <v>0</v>
      </c>
      <c r="I24" s="359"/>
      <c r="J24" s="360"/>
    </row>
    <row r="25" spans="1:11" x14ac:dyDescent="0.25">
      <c r="C25" s="118" t="s">
        <v>242</v>
      </c>
      <c r="D25" s="120"/>
      <c r="E25" s="125">
        <f>IF((D22&gt;1),(D22-1),E7)</f>
        <v>45558</v>
      </c>
      <c r="F25" s="204" t="s">
        <v>301</v>
      </c>
      <c r="G25" s="165" t="s">
        <v>399</v>
      </c>
      <c r="H25" s="216">
        <v>0</v>
      </c>
      <c r="I25" s="127">
        <f>SUM(H23:H25)</f>
        <v>0</v>
      </c>
      <c r="J25" s="358" t="s">
        <v>400</v>
      </c>
    </row>
    <row r="26" spans="1:11" x14ac:dyDescent="0.25">
      <c r="C26" s="122" t="s">
        <v>227</v>
      </c>
      <c r="D26" s="166" t="s">
        <v>459</v>
      </c>
    </row>
    <row r="27" spans="1:11" x14ac:dyDescent="0.25">
      <c r="C27" s="122" t="s">
        <v>228</v>
      </c>
      <c r="D27" s="166" t="s">
        <v>460</v>
      </c>
    </row>
    <row r="28" spans="1:11" x14ac:dyDescent="0.25">
      <c r="C28" s="122" t="s">
        <v>229</v>
      </c>
      <c r="D28" s="166" t="s">
        <v>461</v>
      </c>
      <c r="F28" s="119">
        <v>9</v>
      </c>
      <c r="G28" s="84" t="s">
        <v>319</v>
      </c>
      <c r="H28" s="84"/>
      <c r="I28" s="173" t="s">
        <v>317</v>
      </c>
      <c r="J28" s="174"/>
      <c r="K28" s="208"/>
    </row>
    <row r="29" spans="1:11" x14ac:dyDescent="0.25">
      <c r="C29" s="122" t="s">
        <v>230</v>
      </c>
      <c r="D29" s="166"/>
      <c r="G29" s="118" t="s">
        <v>225</v>
      </c>
      <c r="H29" s="118" t="s">
        <v>226</v>
      </c>
      <c r="I29" s="207">
        <v>43962</v>
      </c>
      <c r="J29" s="85" t="s">
        <v>376</v>
      </c>
    </row>
    <row r="30" spans="1:11" x14ac:dyDescent="0.25">
      <c r="C30" s="122" t="s">
        <v>231</v>
      </c>
      <c r="D30" s="166"/>
      <c r="G30" s="118" t="s">
        <v>277</v>
      </c>
      <c r="H30" s="118" t="s">
        <v>226</v>
      </c>
      <c r="I30" s="207">
        <v>44136</v>
      </c>
    </row>
    <row r="31" spans="1:11" x14ac:dyDescent="0.25">
      <c r="C31" s="122" t="s">
        <v>232</v>
      </c>
      <c r="D31" s="166"/>
      <c r="G31" s="118" t="s">
        <v>235</v>
      </c>
      <c r="H31" s="84" t="s">
        <v>200</v>
      </c>
      <c r="I31" s="171" t="s">
        <v>39</v>
      </c>
      <c r="J31" s="171" t="s">
        <v>199</v>
      </c>
    </row>
    <row r="32" spans="1:11" x14ac:dyDescent="0.25">
      <c r="C32" s="122" t="s">
        <v>233</v>
      </c>
      <c r="D32" s="166"/>
      <c r="G32" s="118" t="s">
        <v>313</v>
      </c>
      <c r="H32" s="85" t="s">
        <v>198</v>
      </c>
      <c r="I32" s="172">
        <v>1.25</v>
      </c>
      <c r="J32" s="172">
        <v>0</v>
      </c>
    </row>
    <row r="33" spans="1:11" x14ac:dyDescent="0.25">
      <c r="C33" s="122" t="s">
        <v>234</v>
      </c>
      <c r="D33" s="166"/>
      <c r="H33" s="85" t="s">
        <v>201</v>
      </c>
      <c r="I33" s="172">
        <v>1.35</v>
      </c>
      <c r="J33" s="172">
        <v>0</v>
      </c>
    </row>
    <row r="34" spans="1:11" x14ac:dyDescent="0.25">
      <c r="H34" s="85" t="s">
        <v>202</v>
      </c>
      <c r="I34" s="172">
        <v>1.3</v>
      </c>
      <c r="J34" s="172">
        <v>0</v>
      </c>
    </row>
    <row r="35" spans="1:11" x14ac:dyDescent="0.25">
      <c r="A35" s="171">
        <v>4</v>
      </c>
      <c r="B35" s="84" t="s">
        <v>377</v>
      </c>
      <c r="H35" s="85" t="s">
        <v>203</v>
      </c>
      <c r="I35" s="172">
        <v>0</v>
      </c>
      <c r="J35" s="172">
        <v>0</v>
      </c>
      <c r="K35" s="84"/>
    </row>
    <row r="36" spans="1:11" x14ac:dyDescent="0.25">
      <c r="B36" s="118" t="s">
        <v>237</v>
      </c>
      <c r="D36" s="173" t="s">
        <v>327</v>
      </c>
      <c r="E36" s="173"/>
      <c r="F36" s="205"/>
      <c r="H36" s="85" t="s">
        <v>204</v>
      </c>
      <c r="I36" s="172">
        <v>0</v>
      </c>
      <c r="J36" s="172"/>
      <c r="K36" s="118"/>
    </row>
    <row r="37" spans="1:11" x14ac:dyDescent="0.25">
      <c r="B37" s="118" t="s">
        <v>378</v>
      </c>
      <c r="C37" s="118" t="s">
        <v>79</v>
      </c>
      <c r="D37" s="169" t="s">
        <v>213</v>
      </c>
      <c r="E37" s="169" t="s">
        <v>214</v>
      </c>
      <c r="H37" s="85" t="s">
        <v>205</v>
      </c>
      <c r="I37" s="172">
        <v>0</v>
      </c>
      <c r="J37" s="172"/>
    </row>
    <row r="38" spans="1:11" s="84" customFormat="1" x14ac:dyDescent="0.25">
      <c r="A38" s="171"/>
      <c r="B38" s="118"/>
      <c r="C38" s="85" t="s">
        <v>210</v>
      </c>
      <c r="D38" s="166">
        <v>1.0589999999999999</v>
      </c>
      <c r="E38" s="166">
        <v>0</v>
      </c>
      <c r="F38" s="171"/>
      <c r="G38" s="85"/>
      <c r="H38" s="85" t="s">
        <v>206</v>
      </c>
      <c r="I38" s="172"/>
      <c r="J38" s="172"/>
      <c r="K38" s="85"/>
    </row>
    <row r="39" spans="1:11" s="118" customFormat="1" x14ac:dyDescent="0.25">
      <c r="A39" s="171"/>
      <c r="B39" s="85"/>
      <c r="C39" s="85" t="s">
        <v>211</v>
      </c>
      <c r="D39" s="166">
        <v>1.0589999999999999</v>
      </c>
      <c r="E39" s="166">
        <v>0</v>
      </c>
      <c r="F39" s="171"/>
      <c r="G39" s="85"/>
      <c r="H39" s="85" t="s">
        <v>207</v>
      </c>
      <c r="I39" s="172"/>
      <c r="J39" s="172"/>
      <c r="K39" s="85"/>
    </row>
    <row r="40" spans="1:11" x14ac:dyDescent="0.25">
      <c r="C40" s="85" t="s">
        <v>212</v>
      </c>
      <c r="D40" s="166">
        <v>4.2359999999999998</v>
      </c>
      <c r="E40" s="166">
        <v>0</v>
      </c>
      <c r="G40" s="82"/>
      <c r="H40" s="85" t="s">
        <v>208</v>
      </c>
      <c r="I40" s="172"/>
      <c r="J40" s="172"/>
    </row>
    <row r="41" spans="1:11" x14ac:dyDescent="0.25">
      <c r="C41" s="130" t="s">
        <v>273</v>
      </c>
      <c r="D41" s="170">
        <f>MAX(D38:D40)</f>
        <v>4.2359999999999998</v>
      </c>
      <c r="E41" s="121"/>
      <c r="G41" s="134"/>
      <c r="H41" s="85" t="s">
        <v>209</v>
      </c>
      <c r="I41" s="172"/>
      <c r="J41" s="172"/>
    </row>
    <row r="42" spans="1:11" x14ac:dyDescent="0.25">
      <c r="G42" s="134"/>
      <c r="H42" s="130" t="s">
        <v>248</v>
      </c>
      <c r="I42" s="170">
        <f>MAX(I32:I41)</f>
        <v>1.35</v>
      </c>
      <c r="J42" s="170">
        <f>MAX(J32:J41)</f>
        <v>0</v>
      </c>
    </row>
    <row r="43" spans="1:11" ht="13.8" thickBot="1" x14ac:dyDescent="0.3">
      <c r="A43" s="171">
        <v>5</v>
      </c>
      <c r="B43" s="84" t="s">
        <v>340</v>
      </c>
      <c r="G43" s="134"/>
      <c r="H43" s="135"/>
      <c r="I43" s="135"/>
      <c r="J43" s="135"/>
    </row>
    <row r="44" spans="1:11" ht="13.8" thickBot="1" x14ac:dyDescent="0.3">
      <c r="B44" s="118" t="s">
        <v>329</v>
      </c>
      <c r="G44" s="130" t="s">
        <v>272</v>
      </c>
      <c r="H44" s="130">
        <f>IF((I44&gt;0),I44,(ROUND((I42+(I42*(J42/100))),2)))</f>
        <v>1.35</v>
      </c>
      <c r="I44" s="244"/>
    </row>
    <row r="45" spans="1:11" x14ac:dyDescent="0.25">
      <c r="B45" s="118"/>
      <c r="D45" s="173" t="s">
        <v>328</v>
      </c>
      <c r="E45" s="173"/>
      <c r="F45" s="205"/>
      <c r="I45" s="118"/>
      <c r="J45" s="118"/>
    </row>
    <row r="46" spans="1:11" ht="26.4" x14ac:dyDescent="0.25">
      <c r="B46" s="136" t="s">
        <v>82</v>
      </c>
      <c r="C46" s="136" t="s">
        <v>75</v>
      </c>
      <c r="D46" s="136" t="s">
        <v>284</v>
      </c>
      <c r="E46" s="136" t="s">
        <v>285</v>
      </c>
      <c r="G46" s="130" t="s">
        <v>366</v>
      </c>
      <c r="H46" s="137">
        <f>ROUND(((SUM(J7:J25))*H44),0)</f>
        <v>57888</v>
      </c>
    </row>
    <row r="47" spans="1:11" x14ac:dyDescent="0.25">
      <c r="B47" s="121" t="s">
        <v>280</v>
      </c>
      <c r="C47" s="167">
        <v>3500</v>
      </c>
      <c r="D47" s="167">
        <v>2000</v>
      </c>
      <c r="E47" s="167">
        <v>6000</v>
      </c>
      <c r="G47" s="130" t="s">
        <v>286</v>
      </c>
      <c r="H47" s="138">
        <f>ROUND((H46*0.1),0)</f>
        <v>5789</v>
      </c>
    </row>
    <row r="48" spans="1:11" x14ac:dyDescent="0.25">
      <c r="B48" s="121" t="s">
        <v>281</v>
      </c>
      <c r="C48" s="167">
        <v>4500</v>
      </c>
      <c r="D48" s="167">
        <v>2000</v>
      </c>
      <c r="E48" s="167">
        <v>6000</v>
      </c>
      <c r="G48" s="130"/>
      <c r="H48" s="137">
        <f>SUM(H46:H47)</f>
        <v>63677</v>
      </c>
    </row>
    <row r="49" spans="1:8" x14ac:dyDescent="0.25">
      <c r="B49" s="121" t="s">
        <v>282</v>
      </c>
      <c r="C49" s="167">
        <v>5500</v>
      </c>
      <c r="D49" s="167">
        <v>2000</v>
      </c>
      <c r="E49" s="167">
        <v>7000</v>
      </c>
      <c r="G49" s="130" t="s">
        <v>287</v>
      </c>
      <c r="H49" s="130">
        <f>H48/100*D41</f>
        <v>2697.35772</v>
      </c>
    </row>
    <row r="50" spans="1:8" ht="13.8" thickBot="1" x14ac:dyDescent="0.3">
      <c r="B50" s="121" t="s">
        <v>283</v>
      </c>
      <c r="C50" s="167">
        <v>5500</v>
      </c>
      <c r="D50" s="167">
        <v>2000</v>
      </c>
      <c r="E50" s="167">
        <v>7000</v>
      </c>
      <c r="G50" s="130" t="s">
        <v>291</v>
      </c>
      <c r="H50" s="139">
        <f>SUM(H48:H49)</f>
        <v>66374.35772</v>
      </c>
    </row>
    <row r="51" spans="1:8" ht="13.8" thickTop="1" x14ac:dyDescent="0.25">
      <c r="B51" s="121" t="s">
        <v>85</v>
      </c>
      <c r="C51" s="167">
        <v>0</v>
      </c>
      <c r="D51" s="167">
        <v>0</v>
      </c>
      <c r="E51" s="167">
        <v>20500</v>
      </c>
    </row>
    <row r="52" spans="1:8" x14ac:dyDescent="0.25">
      <c r="E52" s="123"/>
    </row>
    <row r="54" spans="1:8" s="84" customFormat="1" x14ac:dyDescent="0.25">
      <c r="A54" s="171">
        <v>10</v>
      </c>
      <c r="B54" s="84" t="s">
        <v>339</v>
      </c>
      <c r="F54" s="171"/>
    </row>
    <row r="55" spans="1:8" x14ac:dyDescent="0.25">
      <c r="C55" s="85" t="s">
        <v>83</v>
      </c>
      <c r="D55" s="85" t="s">
        <v>84</v>
      </c>
      <c r="E55" s="85" t="s">
        <v>341</v>
      </c>
    </row>
    <row r="56" spans="1:8" x14ac:dyDescent="0.25">
      <c r="B56" s="85" t="s">
        <v>342</v>
      </c>
      <c r="C56" s="209" t="e">
        <f>#REF!</f>
        <v>#REF!</v>
      </c>
      <c r="D56" s="209">
        <f>E7</f>
        <v>45558</v>
      </c>
      <c r="E56" s="85" t="e">
        <f>ROUND(((D56-C56)/7),0)</f>
        <v>#REF!</v>
      </c>
    </row>
    <row r="57" spans="1:8" x14ac:dyDescent="0.25">
      <c r="B57" s="85" t="s">
        <v>343</v>
      </c>
      <c r="C57" s="209" t="e">
        <f>C56</f>
        <v>#REF!</v>
      </c>
      <c r="D57" s="209">
        <f>D11</f>
        <v>45504</v>
      </c>
      <c r="E57" s="85" t="e">
        <f>ROUND(((D57-C57)/7),0)</f>
        <v>#REF!</v>
      </c>
    </row>
    <row r="59" spans="1:8" x14ac:dyDescent="0.25">
      <c r="A59" s="171">
        <v>11</v>
      </c>
      <c r="B59" s="85" t="s">
        <v>413</v>
      </c>
      <c r="C59" s="85" t="s">
        <v>414</v>
      </c>
      <c r="D59" s="85" t="s">
        <v>415</v>
      </c>
    </row>
    <row r="60" spans="1:8" x14ac:dyDescent="0.25">
      <c r="B60" s="85" t="s">
        <v>416</v>
      </c>
    </row>
    <row r="61" spans="1:8" x14ac:dyDescent="0.25">
      <c r="B61" s="85" t="s">
        <v>417</v>
      </c>
    </row>
    <row r="62" spans="1:8" x14ac:dyDescent="0.25">
      <c r="B62" s="85" t="s">
        <v>342</v>
      </c>
    </row>
  </sheetData>
  <sheetProtection selectLockedCells="1"/>
  <phoneticPr fontId="5" type="noConversion"/>
  <pageMargins left="0.75" right="0.75" top="1" bottom="1" header="0.5" footer="0.5"/>
  <pageSetup paperSize="9" scale="5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66"/>
  <sheetViews>
    <sheetView topLeftCell="A36" workbookViewId="0">
      <selection activeCell="B52" sqref="B52"/>
    </sheetView>
  </sheetViews>
  <sheetFormatPr defaultRowHeight="13.2" x14ac:dyDescent="0.25"/>
  <cols>
    <col min="1" max="1" width="29.33203125" style="85" customWidth="1"/>
    <col min="2" max="2" width="61.6640625" style="85" customWidth="1"/>
  </cols>
  <sheetData>
    <row r="1" spans="1:7" ht="15.6" x14ac:dyDescent="0.3">
      <c r="A1" s="93" t="str">
        <f>'Cost of Attendance'!C15&amp;" "&amp;'Cost of Attendance'!C14</f>
        <v>forename - first name(s) surname - family name</v>
      </c>
      <c r="B1" s="39"/>
      <c r="C1" s="36"/>
      <c r="D1" s="36"/>
      <c r="E1" s="36"/>
      <c r="F1" s="36"/>
      <c r="G1" s="36"/>
    </row>
    <row r="2" spans="1:7" ht="15.6" x14ac:dyDescent="0.3">
      <c r="A2" s="94" t="str">
        <f>'Cost of Attendance'!C16</f>
        <v>line 1</v>
      </c>
      <c r="B2" s="39"/>
      <c r="C2" s="36"/>
      <c r="D2" s="36"/>
      <c r="E2" s="36"/>
      <c r="F2" s="36"/>
      <c r="G2" s="36"/>
    </row>
    <row r="3" spans="1:7" ht="15.6" x14ac:dyDescent="0.3">
      <c r="A3" s="94" t="str">
        <f>'Cost of Attendance'!C17</f>
        <v>line 2</v>
      </c>
      <c r="B3" s="39"/>
      <c r="C3" s="36"/>
      <c r="D3" s="36"/>
      <c r="E3" s="36"/>
      <c r="F3" s="36"/>
      <c r="G3" s="36"/>
    </row>
    <row r="4" spans="1:7" ht="15.6" x14ac:dyDescent="0.3">
      <c r="A4" s="94" t="str">
        <f>'Cost of Attendance'!C18</f>
        <v>line 3</v>
      </c>
      <c r="B4" s="39"/>
      <c r="C4" s="36"/>
      <c r="D4" s="36"/>
      <c r="E4" s="36"/>
      <c r="F4" s="36"/>
      <c r="G4" s="36"/>
    </row>
    <row r="5" spans="1:7" ht="15.6" x14ac:dyDescent="0.3">
      <c r="A5" s="94" t="str">
        <f>'Cost of Attendance'!C19</f>
        <v>line 4</v>
      </c>
      <c r="B5" s="39"/>
      <c r="C5" s="36"/>
      <c r="D5" s="36"/>
      <c r="E5" s="36"/>
      <c r="F5" s="36"/>
      <c r="G5" s="36"/>
    </row>
    <row r="6" spans="1:7" ht="15.6" x14ac:dyDescent="0.3">
      <c r="A6" s="94" t="str">
        <f>'Cost of Attendance'!C20</f>
        <v>postcode/zipcode</v>
      </c>
      <c r="B6" s="39"/>
      <c r="C6" s="36"/>
      <c r="D6" s="36"/>
      <c r="E6" s="36"/>
      <c r="F6" s="36"/>
      <c r="G6" s="36"/>
    </row>
    <row r="7" spans="1:7" x14ac:dyDescent="0.25">
      <c r="A7" s="95"/>
      <c r="B7" s="39"/>
      <c r="C7" s="36"/>
      <c r="D7" s="36"/>
      <c r="E7" s="36"/>
      <c r="F7" s="36"/>
      <c r="G7" s="36"/>
    </row>
    <row r="8" spans="1:7" x14ac:dyDescent="0.25">
      <c r="A8" s="96"/>
      <c r="B8" s="39"/>
      <c r="C8" s="36"/>
      <c r="D8" s="36"/>
      <c r="E8" s="36"/>
      <c r="F8" s="36"/>
      <c r="G8" s="36"/>
    </row>
    <row r="9" spans="1:7" x14ac:dyDescent="0.25">
      <c r="B9" s="39"/>
      <c r="C9" s="36"/>
      <c r="D9" s="36"/>
      <c r="E9" s="36"/>
      <c r="F9" s="36"/>
      <c r="G9" s="36"/>
    </row>
    <row r="10" spans="1:7" x14ac:dyDescent="0.25">
      <c r="A10" s="39"/>
      <c r="B10" s="39"/>
      <c r="C10" s="36"/>
      <c r="D10" s="36"/>
      <c r="E10" s="36"/>
      <c r="F10" s="36"/>
      <c r="G10" s="36"/>
    </row>
    <row r="11" spans="1:7" ht="22.8" x14ac:dyDescent="0.4">
      <c r="A11" s="38" t="s">
        <v>102</v>
      </c>
      <c r="B11" s="39"/>
      <c r="C11" s="36"/>
      <c r="D11" s="36"/>
      <c r="E11" s="36"/>
      <c r="F11" s="36"/>
      <c r="G11" s="36"/>
    </row>
    <row r="12" spans="1:7" ht="22.8" x14ac:dyDescent="0.4">
      <c r="A12" s="67" t="str">
        <f>'Cost of Attendance'!C4</f>
        <v>for Academic Year 2023/24</v>
      </c>
      <c r="B12" s="39"/>
      <c r="C12" s="36"/>
      <c r="D12" s="36"/>
      <c r="E12" s="36"/>
      <c r="F12" s="36"/>
      <c r="G12" s="36"/>
    </row>
    <row r="13" spans="1:7" x14ac:dyDescent="0.25">
      <c r="A13" s="39"/>
      <c r="B13" s="39"/>
      <c r="C13" s="36"/>
      <c r="D13" s="36"/>
      <c r="E13" s="36"/>
      <c r="F13" s="36"/>
      <c r="G13" s="36"/>
    </row>
    <row r="14" spans="1:7" x14ac:dyDescent="0.25">
      <c r="A14" s="39"/>
      <c r="B14" s="39"/>
      <c r="C14" s="36"/>
      <c r="D14" s="36"/>
      <c r="E14" s="36"/>
      <c r="F14" s="36"/>
      <c r="G14" s="36"/>
    </row>
    <row r="15" spans="1:7" ht="18" x14ac:dyDescent="0.35">
      <c r="A15" s="40" t="s">
        <v>103</v>
      </c>
      <c r="B15" s="39"/>
      <c r="C15" s="36"/>
      <c r="D15" s="36"/>
      <c r="E15" s="36"/>
      <c r="F15" s="36"/>
      <c r="G15" s="36"/>
    </row>
    <row r="16" spans="1:7" x14ac:dyDescent="0.25">
      <c r="A16" s="39"/>
      <c r="B16" s="39"/>
      <c r="C16" s="36"/>
      <c r="D16" s="36"/>
      <c r="E16" s="36"/>
      <c r="F16" s="36"/>
      <c r="G16" s="36"/>
    </row>
    <row r="17" spans="1:7" s="44" customFormat="1" ht="15.6" x14ac:dyDescent="0.3">
      <c r="A17" s="41" t="s">
        <v>104</v>
      </c>
      <c r="B17" s="97" t="str">
        <f>'Cost of Attendance'!C15&amp;" "&amp;'Cost of Attendance'!C14</f>
        <v>forename - first name(s) surname - family name</v>
      </c>
      <c r="C17" s="43"/>
      <c r="D17" s="43"/>
      <c r="E17" s="43"/>
      <c r="F17" s="43"/>
      <c r="G17" s="43"/>
    </row>
    <row r="18" spans="1:7" s="44" customFormat="1" ht="15.6" x14ac:dyDescent="0.3">
      <c r="A18" s="41" t="s">
        <v>306</v>
      </c>
      <c r="B18" s="98">
        <f>'Cost of Attendance'!C22</f>
        <v>0</v>
      </c>
      <c r="C18" s="43"/>
      <c r="D18" s="43"/>
      <c r="E18" s="43"/>
      <c r="F18" s="43"/>
      <c r="G18" s="43"/>
    </row>
    <row r="19" spans="1:7" s="44" customFormat="1" ht="15.6" x14ac:dyDescent="0.3">
      <c r="A19" s="41" t="s">
        <v>106</v>
      </c>
      <c r="B19" s="99" t="str">
        <f>'Cost of Attendance'!C24</f>
        <v>201700000</v>
      </c>
      <c r="C19" s="43"/>
      <c r="D19" s="43"/>
      <c r="E19" s="43"/>
      <c r="F19" s="43"/>
      <c r="G19" s="43"/>
    </row>
    <row r="20" spans="1:7" x14ac:dyDescent="0.25">
      <c r="A20" s="39"/>
      <c r="B20" s="39"/>
      <c r="C20" s="36"/>
      <c r="D20" s="36"/>
      <c r="E20" s="36"/>
      <c r="F20" s="36"/>
      <c r="G20" s="36"/>
    </row>
    <row r="21" spans="1:7" s="1" customFormat="1" ht="15.6" x14ac:dyDescent="0.3">
      <c r="A21" s="63" t="s">
        <v>107</v>
      </c>
      <c r="B21" s="63"/>
      <c r="C21" s="64"/>
      <c r="D21" s="64"/>
      <c r="E21" s="64"/>
      <c r="F21" s="64"/>
      <c r="G21" s="64"/>
    </row>
    <row r="22" spans="1:7" s="1" customFormat="1" ht="15.6" x14ac:dyDescent="0.3">
      <c r="A22" s="63"/>
      <c r="B22" s="63"/>
      <c r="C22" s="64"/>
      <c r="D22" s="64"/>
      <c r="E22" s="64"/>
      <c r="F22" s="64"/>
      <c r="G22" s="64"/>
    </row>
    <row r="23" spans="1:7" s="1" customFormat="1" ht="15.6" x14ac:dyDescent="0.3">
      <c r="A23" s="63" t="s">
        <v>138</v>
      </c>
      <c r="B23" s="63"/>
      <c r="C23" s="64"/>
      <c r="D23" s="64"/>
      <c r="E23" s="64"/>
      <c r="F23" s="64"/>
      <c r="G23" s="64"/>
    </row>
    <row r="24" spans="1:7" s="1" customFormat="1" ht="15.6" x14ac:dyDescent="0.3">
      <c r="A24" s="63" t="s">
        <v>108</v>
      </c>
      <c r="B24" s="63"/>
      <c r="C24" s="64"/>
      <c r="D24" s="64"/>
      <c r="E24" s="64"/>
      <c r="F24" s="64"/>
      <c r="G24" s="64"/>
    </row>
    <row r="25" spans="1:7" s="1" customFormat="1" ht="15.6" x14ac:dyDescent="0.3">
      <c r="A25" s="63" t="s">
        <v>109</v>
      </c>
      <c r="B25" s="63"/>
      <c r="C25" s="64"/>
      <c r="D25" s="64"/>
      <c r="E25" s="64"/>
      <c r="F25" s="64"/>
      <c r="G25" s="64"/>
    </row>
    <row r="26" spans="1:7" s="65" customFormat="1" ht="15.6" x14ac:dyDescent="0.3">
      <c r="A26" s="63" t="s">
        <v>110</v>
      </c>
      <c r="B26" s="63"/>
      <c r="C26" s="63"/>
      <c r="D26" s="63"/>
      <c r="E26" s="63"/>
      <c r="F26" s="63"/>
      <c r="G26" s="63"/>
    </row>
    <row r="27" spans="1:7" s="1" customFormat="1" ht="15.6" x14ac:dyDescent="0.3">
      <c r="A27" s="63"/>
      <c r="B27" s="63"/>
      <c r="C27" s="64"/>
      <c r="D27" s="64"/>
      <c r="E27" s="64"/>
      <c r="F27" s="64"/>
      <c r="G27" s="64"/>
    </row>
    <row r="28" spans="1:7" s="1" customFormat="1" ht="15.6" x14ac:dyDescent="0.3">
      <c r="A28" s="63" t="s">
        <v>111</v>
      </c>
      <c r="B28" s="63"/>
      <c r="C28" s="64"/>
      <c r="D28" s="64"/>
      <c r="E28" s="64"/>
      <c r="F28" s="64"/>
      <c r="G28" s="64"/>
    </row>
    <row r="29" spans="1:7" s="55" customFormat="1" ht="15.6" x14ac:dyDescent="0.3">
      <c r="A29" s="56" t="s">
        <v>112</v>
      </c>
      <c r="B29" s="100">
        <f>IF(('Cost of Attendance'!D34="n"),'Cost of Attendance'!J15,'Cost of Attendance'!J13)</f>
        <v>45194</v>
      </c>
      <c r="C29" s="54"/>
      <c r="D29" s="54"/>
      <c r="E29" s="54"/>
      <c r="F29" s="54"/>
      <c r="G29" s="54"/>
    </row>
    <row r="30" spans="1:7" s="55" customFormat="1" ht="15.6" x14ac:dyDescent="0.3">
      <c r="A30" s="56" t="s">
        <v>113</v>
      </c>
      <c r="B30" s="100">
        <f>IF(('Cost of Attendance'!D34="n"),'Cost of Attendance'!J16,'Cost of Attendance'!J14)</f>
        <v>45504</v>
      </c>
      <c r="C30" s="54"/>
      <c r="D30" s="54"/>
      <c r="E30" s="54"/>
      <c r="F30" s="54"/>
      <c r="G30" s="54"/>
    </row>
    <row r="31" spans="1:7" ht="15.75" customHeight="1" x14ac:dyDescent="0.25">
      <c r="A31" s="39"/>
      <c r="B31" s="39"/>
      <c r="C31" s="36"/>
      <c r="D31" s="36"/>
      <c r="E31" s="36"/>
      <c r="F31" s="36"/>
      <c r="G31" s="36"/>
    </row>
    <row r="32" spans="1:7" ht="15.75" customHeight="1" x14ac:dyDescent="0.3">
      <c r="A32" s="63" t="s">
        <v>276</v>
      </c>
      <c r="B32" s="39"/>
      <c r="C32" s="36"/>
      <c r="D32" s="36"/>
      <c r="E32" s="36"/>
      <c r="F32" s="36"/>
      <c r="G32" s="36"/>
    </row>
    <row r="33" spans="1:7" s="65" customFormat="1" ht="15.75" customHeight="1" x14ac:dyDescent="0.3">
      <c r="A33" s="65" t="s">
        <v>275</v>
      </c>
      <c r="B33" s="63"/>
      <c r="C33" s="63"/>
      <c r="D33" s="63"/>
      <c r="E33" s="63"/>
      <c r="F33" s="63"/>
      <c r="G33" s="63"/>
    </row>
    <row r="34" spans="1:7" s="44" customFormat="1" ht="15.75" customHeight="1" x14ac:dyDescent="0.3">
      <c r="A34" s="41" t="s">
        <v>79</v>
      </c>
      <c r="B34" s="56" t="s">
        <v>114</v>
      </c>
      <c r="C34" s="43"/>
      <c r="D34" s="43"/>
      <c r="E34" s="43"/>
      <c r="F34" s="43"/>
      <c r="G34" s="43"/>
    </row>
    <row r="35" spans="1:7" s="44" customFormat="1" ht="15.75" customHeight="1" x14ac:dyDescent="0.3">
      <c r="A35" s="41" t="s">
        <v>115</v>
      </c>
      <c r="B35" s="210">
        <f>'Cost of Attendance'!D81</f>
        <v>3500</v>
      </c>
      <c r="C35" s="43"/>
      <c r="D35" s="43"/>
      <c r="E35" s="43"/>
      <c r="F35" s="43"/>
      <c r="G35" s="43"/>
    </row>
    <row r="36" spans="1:7" s="44" customFormat="1" ht="15.75" customHeight="1" x14ac:dyDescent="0.3">
      <c r="A36" s="41" t="s">
        <v>116</v>
      </c>
      <c r="B36" s="210">
        <f>'Cost of Attendance'!D82</f>
        <v>2000</v>
      </c>
      <c r="C36" s="43"/>
      <c r="D36" s="43"/>
      <c r="E36" s="43"/>
      <c r="F36" s="43"/>
      <c r="G36" s="43"/>
    </row>
    <row r="37" spans="1:7" s="44" customFormat="1" ht="15.75" customHeight="1" x14ac:dyDescent="0.3">
      <c r="A37" s="41" t="s">
        <v>117</v>
      </c>
      <c r="B37" s="210">
        <f>'Cost of Attendance'!D84</f>
        <v>22418</v>
      </c>
      <c r="C37" s="43"/>
      <c r="D37" s="43"/>
      <c r="E37" s="43"/>
      <c r="F37" s="43"/>
      <c r="G37" s="43"/>
    </row>
    <row r="38" spans="1:7" s="44" customFormat="1" ht="15.75" customHeight="1" thickBot="1" x14ac:dyDescent="0.35">
      <c r="A38" s="51" t="s">
        <v>77</v>
      </c>
      <c r="B38" s="210">
        <f>'Cost of Attendance'!D85</f>
        <v>27918</v>
      </c>
      <c r="C38" s="43"/>
      <c r="D38" s="43"/>
      <c r="E38" s="43"/>
      <c r="F38" s="43"/>
      <c r="G38" s="43"/>
    </row>
    <row r="39" spans="1:7" ht="15.75" customHeight="1" thickTop="1" x14ac:dyDescent="0.25">
      <c r="A39" s="39"/>
      <c r="B39" s="212"/>
      <c r="C39" s="36"/>
      <c r="D39" s="36"/>
      <c r="E39" s="36"/>
      <c r="F39" s="36"/>
      <c r="G39" s="36"/>
    </row>
    <row r="40" spans="1:7" s="1" customFormat="1" ht="15.75" customHeight="1" x14ac:dyDescent="0.3">
      <c r="A40" s="63" t="s">
        <v>118</v>
      </c>
      <c r="B40" s="213"/>
      <c r="C40" s="64"/>
      <c r="D40" s="64"/>
      <c r="E40" s="64"/>
      <c r="F40" s="64"/>
      <c r="G40" s="64"/>
    </row>
    <row r="41" spans="1:7" s="49" customFormat="1" ht="15.75" customHeight="1" x14ac:dyDescent="0.3">
      <c r="A41" s="100">
        <f>'Cost of Attendance'!M13</f>
        <v>45194</v>
      </c>
      <c r="B41" s="210">
        <f>'Cost of Attendance'!N13</f>
        <v>9306</v>
      </c>
      <c r="C41" s="48"/>
      <c r="D41" s="48"/>
      <c r="E41" s="48"/>
      <c r="F41" s="48"/>
      <c r="G41" s="48"/>
    </row>
    <row r="42" spans="1:7" s="49" customFormat="1" ht="15.75" customHeight="1" x14ac:dyDescent="0.3">
      <c r="A42" s="100">
        <f>'Cost of Attendance'!M14</f>
        <v>45320</v>
      </c>
      <c r="B42" s="210">
        <f>'Cost of Attendance'!N14</f>
        <v>9306</v>
      </c>
      <c r="C42" s="48"/>
      <c r="D42" s="48"/>
      <c r="E42" s="48"/>
      <c r="F42" s="48"/>
      <c r="G42" s="48"/>
    </row>
    <row r="43" spans="1:7" s="49" customFormat="1" ht="15.75" customHeight="1" x14ac:dyDescent="0.3">
      <c r="A43" s="100">
        <f>'Cost of Attendance'!M15</f>
        <v>45411</v>
      </c>
      <c r="B43" s="210">
        <f>'Cost of Attendance'!N15</f>
        <v>9306</v>
      </c>
      <c r="C43" s="48"/>
      <c r="D43" s="48"/>
      <c r="E43" s="48"/>
      <c r="F43" s="48"/>
      <c r="G43" s="48"/>
    </row>
    <row r="44" spans="1:7" s="49" customFormat="1" ht="15.75" customHeight="1" x14ac:dyDescent="0.3">
      <c r="A44" s="100" t="str">
        <f>IF(('Cost of Attendance'!M16&gt;'Cost of Attendance'!J15),'Cost of Attendance'!M16,"")</f>
        <v/>
      </c>
      <c r="B44" s="210" t="str">
        <f>'Cost of Attendance'!N16</f>
        <v/>
      </c>
      <c r="C44" s="48"/>
      <c r="D44" s="48"/>
      <c r="E44" s="48"/>
      <c r="F44" s="48"/>
      <c r="G44" s="48"/>
    </row>
    <row r="45" spans="1:7" s="49" customFormat="1" ht="15.75" customHeight="1" x14ac:dyDescent="0.3">
      <c r="A45" s="211" t="s">
        <v>348</v>
      </c>
      <c r="B45" s="210">
        <f>B38-(SUM(B41:B44))</f>
        <v>0</v>
      </c>
      <c r="C45" s="48"/>
      <c r="D45" s="48"/>
      <c r="E45" s="48"/>
      <c r="F45" s="48"/>
      <c r="G45" s="48"/>
    </row>
    <row r="46" spans="1:7" s="49" customFormat="1" ht="15.75" customHeight="1" thickBot="1" x14ac:dyDescent="0.35">
      <c r="A46" s="101" t="s">
        <v>77</v>
      </c>
      <c r="B46" s="214">
        <f>SUM(B41:B45)</f>
        <v>27918</v>
      </c>
      <c r="C46" s="48"/>
      <c r="D46" s="48"/>
      <c r="E46" s="48"/>
      <c r="F46" s="48"/>
      <c r="G46" s="48"/>
    </row>
    <row r="47" spans="1:7" ht="13.8" thickTop="1" x14ac:dyDescent="0.25">
      <c r="A47" s="39"/>
      <c r="B47" s="39"/>
      <c r="C47" s="36"/>
      <c r="D47" s="36"/>
      <c r="E47" s="36"/>
      <c r="F47" s="36"/>
      <c r="G47" s="36"/>
    </row>
    <row r="48" spans="1:7" s="1" customFormat="1" ht="15.6" x14ac:dyDescent="0.3">
      <c r="A48" s="63" t="s">
        <v>119</v>
      </c>
      <c r="B48" s="63"/>
      <c r="C48" s="64"/>
      <c r="D48" s="64"/>
      <c r="E48" s="64"/>
      <c r="F48" s="64"/>
      <c r="G48" s="64"/>
    </row>
    <row r="49" spans="1:7" s="1" customFormat="1" ht="15.6" x14ac:dyDescent="0.3">
      <c r="A49" s="63" t="s">
        <v>462</v>
      </c>
      <c r="B49" s="63"/>
      <c r="C49" s="64"/>
      <c r="D49" s="64"/>
      <c r="E49" s="64"/>
      <c r="F49" s="64"/>
      <c r="G49" s="64"/>
    </row>
    <row r="50" spans="1:7" s="1" customFormat="1" ht="15.6" x14ac:dyDescent="0.3">
      <c r="A50" s="65" t="s">
        <v>120</v>
      </c>
      <c r="B50" s="63"/>
      <c r="C50" s="64"/>
      <c r="D50" s="64"/>
      <c r="E50" s="64"/>
      <c r="F50" s="64"/>
      <c r="G50" s="64"/>
    </row>
    <row r="51" spans="1:7" s="1" customFormat="1" ht="15.6" x14ac:dyDescent="0.3">
      <c r="B51" s="63"/>
      <c r="C51" s="64"/>
      <c r="D51" s="64"/>
      <c r="E51" s="64"/>
      <c r="F51" s="64"/>
      <c r="G51" s="64"/>
    </row>
    <row r="52" spans="1:7" s="1" customFormat="1" ht="15.6" x14ac:dyDescent="0.3">
      <c r="A52" s="63" t="str">
        <f>(IF(('School DATA'!D26&gt;0),'School DATA'!D26,""))&amp;"    "&amp;(IF(('School DATA'!D30&gt;0),'School DATA'!D30,""))</f>
        <v xml:space="preserve">JR    </v>
      </c>
      <c r="B52" s="63"/>
      <c r="C52" s="64"/>
      <c r="D52" s="64"/>
      <c r="E52" s="64"/>
      <c r="F52" s="64"/>
      <c r="G52" s="64"/>
    </row>
    <row r="53" spans="1:7" s="1" customFormat="1" ht="15.6" x14ac:dyDescent="0.3">
      <c r="A53" s="63" t="str">
        <f>(IF(('School DATA'!D27&gt;0),'School DATA'!D27,""))&amp;"    "&amp;(IF(('School DATA'!D31&gt;0),'School DATA'!D31,""))</f>
        <v xml:space="preserve">LJ    </v>
      </c>
      <c r="B53" s="63"/>
      <c r="C53" s="64"/>
      <c r="D53" s="64"/>
      <c r="E53" s="64"/>
      <c r="F53" s="64"/>
      <c r="G53" s="64"/>
    </row>
    <row r="54" spans="1:7" s="1" customFormat="1" ht="15.6" x14ac:dyDescent="0.3">
      <c r="A54" s="63" t="str">
        <f>(IF(('School DATA'!D28&gt;0),'School DATA'!D28,""))&amp;"    "&amp;(IF(('School DATA'!D32&gt;0),'School DATA'!D32,""))</f>
        <v xml:space="preserve">AM    </v>
      </c>
      <c r="B54" s="63"/>
      <c r="C54" s="64"/>
      <c r="D54" s="64"/>
      <c r="E54" s="64"/>
      <c r="F54" s="64"/>
      <c r="G54" s="64"/>
    </row>
    <row r="55" spans="1:7" s="1" customFormat="1" ht="15.6" x14ac:dyDescent="0.3">
      <c r="A55" s="63" t="str">
        <f>(IF(('School DATA'!D29&gt;0),'School DATA'!D29,""))&amp;"    "&amp;(IF(('School DATA'!D33&gt;0),'School DATA'!D33,""))</f>
        <v xml:space="preserve">    </v>
      </c>
      <c r="B55" s="63"/>
      <c r="C55" s="64"/>
      <c r="D55" s="64"/>
      <c r="E55" s="64"/>
      <c r="F55" s="64"/>
      <c r="G55" s="64"/>
    </row>
    <row r="56" spans="1:7" s="1" customFormat="1" ht="15.6" x14ac:dyDescent="0.3">
      <c r="A56" s="65"/>
      <c r="B56" s="65"/>
      <c r="C56" s="64"/>
      <c r="D56" s="64"/>
      <c r="E56" s="64"/>
      <c r="F56" s="64"/>
      <c r="G56" s="64"/>
    </row>
    <row r="57" spans="1:7" s="1" customFormat="1" ht="15.6" x14ac:dyDescent="0.3">
      <c r="A57" s="63" t="s">
        <v>121</v>
      </c>
      <c r="B57" s="63"/>
      <c r="C57" s="64"/>
      <c r="D57" s="64"/>
      <c r="E57" s="64"/>
      <c r="F57" s="64"/>
      <c r="G57" s="64"/>
    </row>
    <row r="58" spans="1:7" s="1" customFormat="1" ht="15.6" x14ac:dyDescent="0.3">
      <c r="A58" s="65"/>
      <c r="B58" s="63"/>
      <c r="C58" s="64"/>
      <c r="D58" s="64"/>
      <c r="E58" s="64"/>
      <c r="F58" s="64"/>
      <c r="G58" s="64"/>
    </row>
    <row r="59" spans="1:7" s="1" customFormat="1" ht="15.6" x14ac:dyDescent="0.3">
      <c r="A59" s="65"/>
      <c r="B59" s="63"/>
      <c r="C59" s="64"/>
      <c r="D59" s="64"/>
      <c r="E59" s="64"/>
      <c r="F59" s="64"/>
      <c r="G59" s="64"/>
    </row>
    <row r="60" spans="1:7" ht="15.6" x14ac:dyDescent="0.3">
      <c r="A60" s="65" t="s">
        <v>135</v>
      </c>
      <c r="B60" s="66">
        <f ca="1">TODAY()</f>
        <v>45078</v>
      </c>
      <c r="C60" s="36"/>
      <c r="D60" s="36"/>
      <c r="E60" s="36"/>
      <c r="F60" s="36"/>
      <c r="G60" s="36"/>
    </row>
    <row r="61" spans="1:7" ht="15.6" x14ac:dyDescent="0.3">
      <c r="A61" s="63"/>
      <c r="B61" s="39"/>
      <c r="C61" s="36"/>
      <c r="D61" s="36"/>
      <c r="E61" s="36"/>
      <c r="F61" s="36"/>
      <c r="G61" s="36"/>
    </row>
    <row r="62" spans="1:7" x14ac:dyDescent="0.25">
      <c r="A62" s="39"/>
      <c r="B62" s="39"/>
      <c r="C62" s="36"/>
      <c r="D62" s="36"/>
      <c r="E62" s="36"/>
      <c r="F62" s="36"/>
      <c r="G62" s="36"/>
    </row>
    <row r="63" spans="1:7" x14ac:dyDescent="0.25">
      <c r="A63" s="39"/>
      <c r="B63" s="39"/>
      <c r="C63" s="36"/>
      <c r="D63" s="36"/>
      <c r="E63" s="36"/>
      <c r="F63" s="36"/>
      <c r="G63" s="36"/>
    </row>
    <row r="64" spans="1:7" x14ac:dyDescent="0.25">
      <c r="C64" s="36"/>
      <c r="D64" s="36"/>
      <c r="E64" s="36"/>
      <c r="F64" s="36"/>
      <c r="G64" s="36"/>
    </row>
    <row r="65" spans="3:7" x14ac:dyDescent="0.25">
      <c r="C65" s="36"/>
      <c r="D65" s="36"/>
      <c r="E65" s="36"/>
      <c r="F65" s="36"/>
      <c r="G65" s="36"/>
    </row>
    <row r="66" spans="3:7" x14ac:dyDescent="0.25">
      <c r="C66" s="36"/>
      <c r="D66" s="36"/>
      <c r="E66" s="36"/>
      <c r="F66" s="36"/>
      <c r="G66" s="36"/>
    </row>
  </sheetData>
  <sheetProtection selectLockedCells="1"/>
  <phoneticPr fontId="5" type="noConversion"/>
  <pageMargins left="0.96" right="0.75" top="2.54" bottom="1" header="0.5" footer="0.5"/>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E30"/>
  <sheetViews>
    <sheetView topLeftCell="A9" zoomScale="75" workbookViewId="0">
      <selection activeCell="C7" sqref="C7"/>
    </sheetView>
  </sheetViews>
  <sheetFormatPr defaultColWidth="9.109375" defaultRowHeight="13.2" x14ac:dyDescent="0.25"/>
  <cols>
    <col min="1" max="1" width="81.109375" bestFit="1" customWidth="1"/>
    <col min="2" max="2" width="13.33203125" bestFit="1" customWidth="1"/>
    <col min="3" max="3" width="116.88671875" customWidth="1"/>
    <col min="5" max="5" width="0" hidden="1" customWidth="1"/>
  </cols>
  <sheetData>
    <row r="1" spans="1:5" s="9" customFormat="1" x14ac:dyDescent="0.25">
      <c r="A1" s="140" t="s">
        <v>88</v>
      </c>
      <c r="B1" s="141"/>
      <c r="C1" s="142"/>
      <c r="E1" s="143" t="s">
        <v>101</v>
      </c>
    </row>
    <row r="2" spans="1:5" s="9" customFormat="1" x14ac:dyDescent="0.25">
      <c r="A2" s="144" t="s">
        <v>87</v>
      </c>
      <c r="C2" s="145"/>
      <c r="E2" s="143" t="s">
        <v>4</v>
      </c>
    </row>
    <row r="3" spans="1:5" s="9" customFormat="1" x14ac:dyDescent="0.25">
      <c r="A3" s="144" t="s">
        <v>134</v>
      </c>
      <c r="C3" s="145"/>
      <c r="E3" s="143"/>
    </row>
    <row r="4" spans="1:5" s="9" customFormat="1" x14ac:dyDescent="0.25">
      <c r="A4" s="144"/>
      <c r="C4" s="145"/>
      <c r="E4" s="143" t="s">
        <v>5</v>
      </c>
    </row>
    <row r="5" spans="1:5" s="9" customFormat="1" x14ac:dyDescent="0.25">
      <c r="A5" s="144"/>
      <c r="B5" s="9" t="s">
        <v>89</v>
      </c>
      <c r="C5" s="145" t="s">
        <v>93</v>
      </c>
      <c r="E5" s="143"/>
    </row>
    <row r="6" spans="1:5" s="9" customFormat="1" ht="15.6" x14ac:dyDescent="0.3">
      <c r="A6" s="146" t="s">
        <v>23</v>
      </c>
      <c r="B6" s="9" t="s">
        <v>94</v>
      </c>
      <c r="C6" s="147"/>
    </row>
    <row r="7" spans="1:5" s="9" customFormat="1" ht="15.6" x14ac:dyDescent="0.3">
      <c r="A7" s="148" t="s">
        <v>251</v>
      </c>
      <c r="B7" s="35" t="s">
        <v>58</v>
      </c>
      <c r="C7" s="149" t="str">
        <f t="shared" ref="C7:C12" si="0">IF((B7="n"),"Go back to the Cost of Attendance and enter it or we cannot process your application","")</f>
        <v>Go back to the Cost of Attendance and enter it or we cannot process your application</v>
      </c>
    </row>
    <row r="8" spans="1:5" s="9" customFormat="1" ht="15.6" x14ac:dyDescent="0.3">
      <c r="A8" s="148" t="s">
        <v>252</v>
      </c>
      <c r="B8" s="35" t="s">
        <v>58</v>
      </c>
      <c r="C8" s="149" t="str">
        <f t="shared" si="0"/>
        <v>Go back to the Cost of Attendance and enter it or we cannot process your application</v>
      </c>
    </row>
    <row r="9" spans="1:5" s="9" customFormat="1" ht="15.6" x14ac:dyDescent="0.3">
      <c r="A9" s="148" t="s">
        <v>253</v>
      </c>
      <c r="B9" s="35" t="s">
        <v>58</v>
      </c>
      <c r="C9" s="149" t="str">
        <f t="shared" si="0"/>
        <v>Go back to the Cost of Attendance and enter it or we cannot process your application</v>
      </c>
    </row>
    <row r="10" spans="1:5" ht="15.6" x14ac:dyDescent="0.3">
      <c r="A10" s="148" t="s">
        <v>254</v>
      </c>
      <c r="B10" s="35" t="s">
        <v>58</v>
      </c>
      <c r="C10" s="149" t="str">
        <f t="shared" si="0"/>
        <v>Go back to the Cost of Attendance and enter it or we cannot process your application</v>
      </c>
    </row>
    <row r="11" spans="1:5" ht="15.6" x14ac:dyDescent="0.3">
      <c r="A11" s="148" t="s">
        <v>255</v>
      </c>
      <c r="B11" s="35" t="s">
        <v>58</v>
      </c>
      <c r="C11" s="149" t="str">
        <f t="shared" si="0"/>
        <v>Go back to the Cost of Attendance and enter it or we cannot process your application</v>
      </c>
    </row>
    <row r="12" spans="1:5" ht="15.6" x14ac:dyDescent="0.3">
      <c r="A12" s="148" t="s">
        <v>250</v>
      </c>
      <c r="B12" s="35" t="s">
        <v>58</v>
      </c>
      <c r="C12" s="149" t="str">
        <f t="shared" si="0"/>
        <v>Go back to the Cost of Attendance and enter it or we cannot process your application</v>
      </c>
    </row>
    <row r="13" spans="1:5" x14ac:dyDescent="0.25">
      <c r="B13" s="83"/>
    </row>
    <row r="14" spans="1:5" x14ac:dyDescent="0.25">
      <c r="B14" s="150"/>
      <c r="C14" s="151"/>
    </row>
    <row r="15" spans="1:5" ht="15.6" x14ac:dyDescent="0.3">
      <c r="A15" s="152" t="s">
        <v>97</v>
      </c>
      <c r="B15" s="150"/>
      <c r="C15" s="149"/>
    </row>
    <row r="16" spans="1:5" x14ac:dyDescent="0.25">
      <c r="A16" s="148" t="s">
        <v>141</v>
      </c>
      <c r="B16" s="35" t="s">
        <v>58</v>
      </c>
    </row>
    <row r="17" spans="1:3" ht="15.6" x14ac:dyDescent="0.3">
      <c r="A17" s="148" t="str">
        <f>IF((B16="N"),"Have you signed up for selective service","")</f>
        <v>Have you signed up for selective service</v>
      </c>
      <c r="B17" s="35" t="s">
        <v>58</v>
      </c>
      <c r="C17" s="149"/>
    </row>
    <row r="18" spans="1:3" ht="15.6" x14ac:dyDescent="0.3">
      <c r="A18" s="148" t="str">
        <f>IF((B17="N"),"Have you attached proof you are exempt from selective service","")</f>
        <v>Have you attached proof you are exempt from selective service</v>
      </c>
      <c r="B18" s="35" t="s">
        <v>58</v>
      </c>
      <c r="C18" s="149" t="str">
        <f>IF(((B18="n")*AND(B17="n")),"Application Rejected","")</f>
        <v>Application Rejected</v>
      </c>
    </row>
    <row r="19" spans="1:3" ht="15.6" x14ac:dyDescent="0.3">
      <c r="A19" s="148"/>
      <c r="B19" s="150"/>
      <c r="C19" s="149"/>
    </row>
    <row r="20" spans="1:3" ht="15.6" x14ac:dyDescent="0.3">
      <c r="A20" s="152" t="s">
        <v>98</v>
      </c>
      <c r="B20" s="150"/>
      <c r="C20" s="149"/>
    </row>
    <row r="21" spans="1:3" ht="15.6" x14ac:dyDescent="0.3">
      <c r="A21" s="148" t="s">
        <v>95</v>
      </c>
      <c r="B21" s="35" t="s">
        <v>58</v>
      </c>
      <c r="C21" s="149" t="str">
        <f>IF((B21="n"),"Application Rejected","")</f>
        <v>Application Rejected</v>
      </c>
    </row>
    <row r="22" spans="1:3" ht="15.6" x14ac:dyDescent="0.3">
      <c r="A22" s="148" t="s">
        <v>96</v>
      </c>
      <c r="B22" s="35" t="s">
        <v>58</v>
      </c>
      <c r="C22" s="149"/>
    </row>
    <row r="23" spans="1:3" ht="15.6" x14ac:dyDescent="0.3">
      <c r="A23" s="148" t="str">
        <f>IF((B22="Y"),"Have you attached your PLUS MPN","")</f>
        <v/>
      </c>
      <c r="B23" s="35" t="s">
        <v>58</v>
      </c>
      <c r="C23" s="149" t="str">
        <f>IF(((B23="n")*AND(B22="y")),"Application Rejected","")</f>
        <v/>
      </c>
    </row>
    <row r="24" spans="1:3" ht="15.6" x14ac:dyDescent="0.3">
      <c r="A24" s="148" t="str">
        <f>IF((B22="Y"),"Have you attached your Credit Check result email or screenshot","")</f>
        <v/>
      </c>
      <c r="B24" s="35" t="s">
        <v>58</v>
      </c>
      <c r="C24" s="149" t="str">
        <f>IF(((B24="n")*AND(B22="y")),"Application Rejected","")</f>
        <v/>
      </c>
    </row>
    <row r="25" spans="1:3" ht="15.6" x14ac:dyDescent="0.3">
      <c r="A25" s="148"/>
      <c r="B25" s="150"/>
      <c r="C25" s="149"/>
    </row>
    <row r="26" spans="1:3" ht="15.6" x14ac:dyDescent="0.3">
      <c r="A26" s="152" t="s">
        <v>99</v>
      </c>
      <c r="B26" s="150"/>
      <c r="C26" s="149"/>
    </row>
    <row r="27" spans="1:3" ht="15.6" x14ac:dyDescent="0.3">
      <c r="A27" s="148" t="s">
        <v>100</v>
      </c>
      <c r="B27" s="35" t="s">
        <v>58</v>
      </c>
      <c r="C27" s="149" t="str">
        <f>IF((B27="n"),"Application Rejected","")</f>
        <v>Application Rejected</v>
      </c>
    </row>
    <row r="28" spans="1:3" ht="15.6" x14ac:dyDescent="0.3">
      <c r="A28" s="148"/>
      <c r="B28" s="150"/>
      <c r="C28" s="149" t="str">
        <f>IF((B28="n"),"Application Rejected","")</f>
        <v/>
      </c>
    </row>
    <row r="29" spans="1:3" s="156" customFormat="1" ht="16.2" thickBot="1" x14ac:dyDescent="0.35">
      <c r="A29" s="153" t="s">
        <v>136</v>
      </c>
      <c r="B29" s="154"/>
      <c r="C29" s="155"/>
    </row>
    <row r="30" spans="1:3" ht="15.6" x14ac:dyDescent="0.3">
      <c r="C30" s="156"/>
    </row>
  </sheetData>
  <sheetProtection selectLockedCells="1"/>
  <phoneticPr fontId="5" type="noConversion"/>
  <dataValidations count="1">
    <dataValidation type="list" allowBlank="1" showInputMessage="1" showErrorMessage="1" sqref="B16:B18 B7:B12 B21:B24 B27" xr:uid="{00000000-0002-0000-0400-000000000000}">
      <formula1>$E$2:$E$5</formula1>
    </dataValidation>
  </dataValidations>
  <pageMargins left="0.75" right="0.75" top="1" bottom="1" header="0.5" footer="0.5"/>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32"/>
  <sheetViews>
    <sheetView workbookViewId="0">
      <selection activeCell="B18" sqref="B18"/>
    </sheetView>
  </sheetViews>
  <sheetFormatPr defaultRowHeight="13.2" x14ac:dyDescent="0.25"/>
  <cols>
    <col min="1" max="1" width="24.109375" style="76" customWidth="1"/>
    <col min="2" max="2" width="100.109375" style="71" customWidth="1"/>
  </cols>
  <sheetData>
    <row r="1" spans="1:2" s="74" customFormat="1" ht="17.399999999999999" x14ac:dyDescent="0.3">
      <c r="A1" s="75" t="s">
        <v>155</v>
      </c>
      <c r="B1" s="73"/>
    </row>
    <row r="2" spans="1:2" ht="17.399999999999999" x14ac:dyDescent="0.25">
      <c r="A2" s="75"/>
    </row>
    <row r="3" spans="1:2" ht="52.8" x14ac:dyDescent="0.25">
      <c r="A3" s="76" t="s">
        <v>148</v>
      </c>
      <c r="B3" s="71" t="s">
        <v>344</v>
      </c>
    </row>
    <row r="5" spans="1:2" ht="39.6" x14ac:dyDescent="0.25">
      <c r="A5" s="77" t="s">
        <v>1</v>
      </c>
      <c r="B5" s="71" t="s">
        <v>304</v>
      </c>
    </row>
    <row r="7" spans="1:2" ht="39.6" x14ac:dyDescent="0.25">
      <c r="A7" s="77" t="s">
        <v>7</v>
      </c>
      <c r="B7" s="71" t="s">
        <v>358</v>
      </c>
    </row>
    <row r="9" spans="1:2" x14ac:dyDescent="0.25">
      <c r="A9" s="77" t="s">
        <v>3</v>
      </c>
      <c r="B9" s="71" t="s">
        <v>149</v>
      </c>
    </row>
    <row r="11" spans="1:2" x14ac:dyDescent="0.25">
      <c r="A11" s="77" t="s">
        <v>30</v>
      </c>
      <c r="B11" s="71" t="s">
        <v>359</v>
      </c>
    </row>
    <row r="13" spans="1:2" x14ac:dyDescent="0.25">
      <c r="A13" s="77" t="s">
        <v>2</v>
      </c>
      <c r="B13" s="71" t="s">
        <v>305</v>
      </c>
    </row>
    <row r="15" spans="1:2" x14ac:dyDescent="0.25">
      <c r="A15" s="76" t="s">
        <v>150</v>
      </c>
      <c r="B15" s="71" t="s">
        <v>360</v>
      </c>
    </row>
    <row r="17" spans="1:2" x14ac:dyDescent="0.25">
      <c r="A17" s="76" t="s">
        <v>151</v>
      </c>
      <c r="B17" s="71" t="s">
        <v>361</v>
      </c>
    </row>
    <row r="19" spans="1:2" x14ac:dyDescent="0.25">
      <c r="A19" s="76" t="s">
        <v>152</v>
      </c>
      <c r="B19" s="71" t="s">
        <v>314</v>
      </c>
    </row>
    <row r="21" spans="1:2" ht="52.8" x14ac:dyDescent="0.25">
      <c r="A21" s="76" t="s">
        <v>153</v>
      </c>
      <c r="B21" s="71" t="s">
        <v>172</v>
      </c>
    </row>
    <row r="23" spans="1:2" x14ac:dyDescent="0.25">
      <c r="A23" s="76" t="s">
        <v>188</v>
      </c>
      <c r="B23" s="71" t="s">
        <v>189</v>
      </c>
    </row>
    <row r="24" spans="1:2" x14ac:dyDescent="0.25">
      <c r="B24" s="71" t="s">
        <v>345</v>
      </c>
    </row>
    <row r="25" spans="1:2" x14ac:dyDescent="0.25">
      <c r="B25" s="71" t="s">
        <v>190</v>
      </c>
    </row>
    <row r="27" spans="1:2" x14ac:dyDescent="0.25">
      <c r="A27" s="76" t="s">
        <v>156</v>
      </c>
      <c r="B27" s="71" t="s">
        <v>157</v>
      </c>
    </row>
    <row r="28" spans="1:2" x14ac:dyDescent="0.25">
      <c r="B28" s="71" t="s">
        <v>312</v>
      </c>
    </row>
    <row r="29" spans="1:2" x14ac:dyDescent="0.25">
      <c r="B29" s="71" t="s">
        <v>346</v>
      </c>
    </row>
    <row r="31" spans="1:2" x14ac:dyDescent="0.25">
      <c r="A31" s="76" t="s">
        <v>158</v>
      </c>
      <c r="B31" s="71" t="s">
        <v>347</v>
      </c>
    </row>
    <row r="32" spans="1:2" x14ac:dyDescent="0.25">
      <c r="B32" s="72" t="s">
        <v>159</v>
      </c>
    </row>
  </sheetData>
  <sheetProtection selectLockedCells="1"/>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58"/>
  <sheetViews>
    <sheetView topLeftCell="A24" zoomScale="75" workbookViewId="0">
      <selection activeCell="B48" sqref="B48"/>
    </sheetView>
  </sheetViews>
  <sheetFormatPr defaultRowHeight="13.2" x14ac:dyDescent="0.25"/>
  <cols>
    <col min="1" max="1" width="29.33203125" customWidth="1"/>
    <col min="2" max="2" width="61.6640625" customWidth="1"/>
  </cols>
  <sheetData>
    <row r="1" spans="1:7" ht="15.6" x14ac:dyDescent="0.3">
      <c r="A1" s="61" t="str">
        <f>'Cost of Attendance'!C15&amp;" "&amp;'Cost of Attendance'!C14</f>
        <v>forename - first name(s) surname - family name</v>
      </c>
      <c r="B1" s="36"/>
      <c r="C1" s="36"/>
      <c r="D1" s="36"/>
      <c r="E1" s="36"/>
      <c r="F1" s="36"/>
      <c r="G1" s="36"/>
    </row>
    <row r="2" spans="1:7" ht="15.6" x14ac:dyDescent="0.3">
      <c r="A2" s="62" t="str">
        <f>'Cost of Attendance'!C16</f>
        <v>line 1</v>
      </c>
      <c r="B2" s="36"/>
      <c r="C2" s="36"/>
      <c r="D2" s="36"/>
      <c r="E2" s="36"/>
      <c r="F2" s="36"/>
      <c r="G2" s="36"/>
    </row>
    <row r="3" spans="1:7" ht="15.6" x14ac:dyDescent="0.3">
      <c r="A3" s="62" t="str">
        <f>'Cost of Attendance'!C17</f>
        <v>line 2</v>
      </c>
      <c r="B3" s="36"/>
      <c r="C3" s="36"/>
      <c r="D3" s="36"/>
      <c r="E3" s="36"/>
      <c r="F3" s="36"/>
      <c r="G3" s="36"/>
    </row>
    <row r="4" spans="1:7" ht="15.6" x14ac:dyDescent="0.3">
      <c r="A4" s="62" t="str">
        <f>'Cost of Attendance'!C18</f>
        <v>line 3</v>
      </c>
      <c r="B4" s="36"/>
      <c r="C4" s="36"/>
      <c r="D4" s="36"/>
      <c r="E4" s="36"/>
      <c r="F4" s="36"/>
      <c r="G4" s="36"/>
    </row>
    <row r="5" spans="1:7" ht="15.6" x14ac:dyDescent="0.3">
      <c r="A5" s="62" t="str">
        <f>'Cost of Attendance'!C19</f>
        <v>line 4</v>
      </c>
      <c r="B5" s="36"/>
      <c r="C5" s="36"/>
      <c r="D5" s="36"/>
      <c r="E5" s="36"/>
      <c r="F5" s="36"/>
      <c r="G5" s="36"/>
    </row>
    <row r="6" spans="1:7" ht="15.6" x14ac:dyDescent="0.3">
      <c r="A6" s="62" t="str">
        <f>'Cost of Attendance'!C20</f>
        <v>postcode/zipcode</v>
      </c>
      <c r="B6" s="36"/>
      <c r="C6" s="36"/>
      <c r="D6" s="36"/>
      <c r="E6" s="36"/>
      <c r="F6" s="36"/>
      <c r="G6" s="36"/>
    </row>
    <row r="7" spans="1:7" x14ac:dyDescent="0.25">
      <c r="A7" s="60"/>
      <c r="B7" s="36"/>
      <c r="C7" s="36"/>
      <c r="D7" s="36"/>
      <c r="E7" s="36"/>
      <c r="F7" s="36"/>
      <c r="G7" s="36"/>
    </row>
    <row r="8" spans="1:7" x14ac:dyDescent="0.25">
      <c r="A8" s="37"/>
      <c r="B8" s="36"/>
      <c r="C8" s="36"/>
      <c r="D8" s="36"/>
      <c r="E8" s="36"/>
      <c r="F8" s="36"/>
      <c r="G8" s="36"/>
    </row>
    <row r="9" spans="1:7" x14ac:dyDescent="0.25">
      <c r="B9" s="36"/>
      <c r="C9" s="36"/>
      <c r="D9" s="36"/>
      <c r="E9" s="36"/>
      <c r="F9" s="36"/>
      <c r="G9" s="36"/>
    </row>
    <row r="10" spans="1:7" x14ac:dyDescent="0.25">
      <c r="A10" s="39"/>
      <c r="B10" s="36"/>
      <c r="C10" s="36"/>
      <c r="D10" s="36"/>
      <c r="E10" s="36"/>
      <c r="F10" s="36"/>
      <c r="G10" s="36"/>
    </row>
    <row r="11" spans="1:7" ht="22.8" x14ac:dyDescent="0.4">
      <c r="A11" s="38" t="s">
        <v>102</v>
      </c>
      <c r="B11" s="36"/>
      <c r="C11" s="36"/>
      <c r="D11" s="36"/>
      <c r="E11" s="36"/>
      <c r="F11" s="36"/>
      <c r="G11" s="36"/>
    </row>
    <row r="12" spans="1:7" ht="22.8" x14ac:dyDescent="0.4">
      <c r="A12" s="67" t="str">
        <f>'Cost of Attendance'!C4</f>
        <v>for Academic Year 2023/24</v>
      </c>
      <c r="B12" s="36"/>
      <c r="C12" s="36"/>
      <c r="D12" s="36"/>
      <c r="E12" s="36"/>
      <c r="F12" s="36"/>
      <c r="G12" s="36"/>
    </row>
    <row r="13" spans="1:7" x14ac:dyDescent="0.25">
      <c r="A13" s="36"/>
      <c r="B13" s="36"/>
      <c r="C13" s="36"/>
      <c r="D13" s="36"/>
      <c r="E13" s="36"/>
      <c r="F13" s="36"/>
      <c r="G13" s="36"/>
    </row>
    <row r="14" spans="1:7" x14ac:dyDescent="0.25">
      <c r="A14" s="36"/>
      <c r="B14" s="36"/>
      <c r="C14" s="36"/>
      <c r="D14" s="36"/>
      <c r="E14" s="36"/>
      <c r="F14" s="36"/>
      <c r="G14" s="36"/>
    </row>
    <row r="15" spans="1:7" ht="18" x14ac:dyDescent="0.35">
      <c r="A15" s="40" t="s">
        <v>103</v>
      </c>
      <c r="B15" s="36"/>
      <c r="C15" s="36"/>
      <c r="D15" s="36"/>
      <c r="E15" s="36"/>
      <c r="F15" s="36"/>
      <c r="G15" s="36"/>
    </row>
    <row r="16" spans="1:7" x14ac:dyDescent="0.25">
      <c r="A16" s="36"/>
      <c r="B16" s="36"/>
      <c r="C16" s="36"/>
      <c r="D16" s="36"/>
      <c r="E16" s="36"/>
      <c r="F16" s="36"/>
      <c r="G16" s="36"/>
    </row>
    <row r="17" spans="1:7" s="44" customFormat="1" ht="15.6" x14ac:dyDescent="0.3">
      <c r="A17" s="41" t="s">
        <v>104</v>
      </c>
      <c r="B17" s="57" t="str">
        <f>'Cost of Attendance'!C15&amp;" "&amp;'Cost of Attendance'!C14</f>
        <v>forename - first name(s) surname - family name</v>
      </c>
      <c r="C17" s="43"/>
      <c r="D17" s="43"/>
      <c r="E17" s="43"/>
      <c r="F17" s="43"/>
      <c r="G17" s="43"/>
    </row>
    <row r="18" spans="1:7" s="44" customFormat="1" ht="15.6" x14ac:dyDescent="0.3">
      <c r="A18" s="41" t="s">
        <v>105</v>
      </c>
      <c r="B18" s="45">
        <f>'Cost of Attendance'!C22</f>
        <v>0</v>
      </c>
      <c r="C18" s="43"/>
      <c r="D18" s="43"/>
      <c r="E18" s="43"/>
      <c r="F18" s="43"/>
      <c r="G18" s="43"/>
    </row>
    <row r="19" spans="1:7" s="44" customFormat="1" ht="15.6" x14ac:dyDescent="0.3">
      <c r="A19" s="41" t="s">
        <v>106</v>
      </c>
      <c r="B19" s="42" t="str">
        <f>'Cost of Attendance'!C24</f>
        <v>201700000</v>
      </c>
      <c r="C19" s="43"/>
      <c r="D19" s="43"/>
      <c r="E19" s="43"/>
      <c r="F19" s="43"/>
      <c r="G19" s="43"/>
    </row>
    <row r="20" spans="1:7" x14ac:dyDescent="0.25">
      <c r="A20" s="36"/>
      <c r="B20" s="36"/>
      <c r="C20" s="36"/>
      <c r="D20" s="36"/>
      <c r="E20" s="36"/>
      <c r="F20" s="36"/>
      <c r="G20" s="36"/>
    </row>
    <row r="21" spans="1:7" s="1" customFormat="1" ht="15.6" x14ac:dyDescent="0.3">
      <c r="A21" s="63" t="s">
        <v>107</v>
      </c>
      <c r="B21" s="64"/>
      <c r="C21" s="64"/>
      <c r="D21" s="64"/>
      <c r="E21" s="64"/>
      <c r="F21" s="64"/>
      <c r="G21" s="64"/>
    </row>
    <row r="22" spans="1:7" s="1" customFormat="1" ht="15.6" x14ac:dyDescent="0.3">
      <c r="A22" s="63"/>
      <c r="B22" s="64"/>
      <c r="C22" s="64"/>
      <c r="D22" s="64"/>
      <c r="E22" s="64"/>
      <c r="F22" s="64"/>
      <c r="G22" s="64"/>
    </row>
    <row r="23" spans="1:7" s="1" customFormat="1" ht="15.6" x14ac:dyDescent="0.3">
      <c r="A23" s="63" t="s">
        <v>192</v>
      </c>
      <c r="B23" s="64"/>
      <c r="C23" s="64"/>
      <c r="D23" s="64"/>
      <c r="E23" s="64"/>
      <c r="F23" s="64"/>
      <c r="G23" s="64"/>
    </row>
    <row r="24" spans="1:7" s="1" customFormat="1" ht="15.6" x14ac:dyDescent="0.3">
      <c r="A24" s="63" t="s">
        <v>303</v>
      </c>
      <c r="B24" s="64"/>
      <c r="C24" s="64"/>
      <c r="D24" s="64"/>
      <c r="E24" s="64"/>
      <c r="F24" s="64"/>
      <c r="G24" s="64"/>
    </row>
    <row r="25" spans="1:7" s="1" customFormat="1" ht="15" x14ac:dyDescent="0.25">
      <c r="A25" s="64"/>
      <c r="B25" s="64"/>
      <c r="C25" s="64"/>
      <c r="D25" s="64"/>
      <c r="E25" s="64"/>
      <c r="F25" s="64"/>
      <c r="G25" s="64"/>
    </row>
    <row r="26" spans="1:7" s="1" customFormat="1" ht="15.6" x14ac:dyDescent="0.3">
      <c r="A26" s="63" t="s">
        <v>193</v>
      </c>
      <c r="B26" s="64"/>
      <c r="C26" s="64"/>
      <c r="D26" s="64"/>
      <c r="E26" s="64"/>
      <c r="F26" s="64"/>
      <c r="G26" s="64"/>
    </row>
    <row r="27" spans="1:7" s="55" customFormat="1" ht="15.6" x14ac:dyDescent="0.3">
      <c r="A27" s="46" t="s">
        <v>112</v>
      </c>
      <c r="B27" s="47">
        <f>IF(('Cost of Attendance'!D34="n"),'Cost of Attendance'!J15,'Cost of Attendance'!J13)</f>
        <v>45194</v>
      </c>
      <c r="C27" s="54"/>
      <c r="D27" s="54"/>
      <c r="E27" s="54"/>
      <c r="F27" s="54"/>
      <c r="G27" s="54"/>
    </row>
    <row r="28" spans="1:7" s="55" customFormat="1" ht="15.6" x14ac:dyDescent="0.3">
      <c r="A28" s="46" t="s">
        <v>113</v>
      </c>
      <c r="B28" s="47">
        <f>IF(('Cost of Attendance'!D34="n"),'Cost of Attendance'!J16,'Cost of Attendance'!J14)</f>
        <v>45504</v>
      </c>
      <c r="C28" s="54"/>
      <c r="D28" s="54"/>
      <c r="E28" s="54"/>
      <c r="F28" s="54"/>
      <c r="G28" s="54"/>
    </row>
    <row r="29" spans="1:7" x14ac:dyDescent="0.25">
      <c r="A29" s="36"/>
      <c r="B29" s="36"/>
      <c r="C29" s="36"/>
      <c r="D29" s="36"/>
      <c r="E29" s="36"/>
      <c r="F29" s="36"/>
      <c r="G29" s="36"/>
    </row>
    <row r="30" spans="1:7" ht="15.6" x14ac:dyDescent="0.3">
      <c r="A30" s="63" t="s">
        <v>302</v>
      </c>
      <c r="B30" s="36"/>
      <c r="C30" s="36"/>
      <c r="D30" s="36"/>
      <c r="E30" s="36"/>
      <c r="F30" s="36"/>
      <c r="G30" s="36"/>
    </row>
    <row r="31" spans="1:7" s="44" customFormat="1" ht="16.2" thickBot="1" x14ac:dyDescent="0.35">
      <c r="A31" s="51" t="s">
        <v>194</v>
      </c>
      <c r="B31" s="50">
        <f>'Cost of Attendance'!E85</f>
        <v>26910</v>
      </c>
      <c r="C31" s="43"/>
      <c r="D31" s="43"/>
      <c r="E31" s="43"/>
      <c r="F31" s="43"/>
      <c r="G31" s="43"/>
    </row>
    <row r="32" spans="1:7" ht="13.8" thickTop="1" x14ac:dyDescent="0.25">
      <c r="A32" s="36"/>
      <c r="B32" s="36"/>
      <c r="C32" s="36"/>
      <c r="D32" s="36"/>
      <c r="E32" s="36"/>
      <c r="F32" s="36"/>
      <c r="G32" s="36"/>
    </row>
    <row r="33" spans="1:7" ht="15.6" x14ac:dyDescent="0.3">
      <c r="A33" s="63" t="s">
        <v>118</v>
      </c>
      <c r="B33" s="36"/>
      <c r="C33" s="36"/>
      <c r="D33" s="36"/>
      <c r="E33" s="36"/>
      <c r="F33" s="36"/>
      <c r="G33" s="36"/>
    </row>
    <row r="34" spans="1:7" s="49" customFormat="1" ht="15.6" x14ac:dyDescent="0.3">
      <c r="A34" s="47">
        <f>'Cost of Attendance'!M13</f>
        <v>45194</v>
      </c>
      <c r="B34" s="52">
        <f>B31</f>
        <v>26910</v>
      </c>
      <c r="C34" s="48"/>
      <c r="D34" s="48"/>
      <c r="E34" s="48"/>
      <c r="F34" s="48"/>
      <c r="G34" s="48"/>
    </row>
    <row r="35" spans="1:7" s="49" customFormat="1" ht="15.6" x14ac:dyDescent="0.3">
      <c r="A35" s="47"/>
      <c r="B35" s="52"/>
      <c r="C35" s="48"/>
      <c r="D35" s="48"/>
      <c r="E35" s="48"/>
      <c r="F35" s="48"/>
      <c r="G35" s="48"/>
    </row>
    <row r="36" spans="1:7" s="49" customFormat="1" ht="15.6" x14ac:dyDescent="0.3">
      <c r="A36" s="47"/>
      <c r="B36" s="52"/>
      <c r="C36" s="48"/>
      <c r="D36" s="48"/>
      <c r="E36" s="48"/>
      <c r="F36" s="48"/>
      <c r="G36" s="48"/>
    </row>
    <row r="37" spans="1:7" s="49" customFormat="1" ht="15.6" x14ac:dyDescent="0.3">
      <c r="A37" s="47"/>
      <c r="B37" s="52"/>
      <c r="C37" s="48"/>
      <c r="D37" s="48"/>
      <c r="E37" s="48"/>
      <c r="F37" s="48"/>
      <c r="G37" s="48"/>
    </row>
    <row r="38" spans="1:7" s="49" customFormat="1" ht="16.2" thickBot="1" x14ac:dyDescent="0.35">
      <c r="A38" s="53" t="s">
        <v>77</v>
      </c>
      <c r="B38" s="52">
        <f>SUM(B34:B37)</f>
        <v>26910</v>
      </c>
      <c r="C38" s="48"/>
      <c r="D38" s="48"/>
      <c r="E38" s="48"/>
      <c r="F38" s="48"/>
      <c r="G38" s="48"/>
    </row>
    <row r="39" spans="1:7" ht="13.8" thickTop="1" x14ac:dyDescent="0.25">
      <c r="A39" s="36"/>
      <c r="B39" s="36"/>
      <c r="C39" s="36"/>
      <c r="D39" s="36"/>
      <c r="E39" s="36"/>
      <c r="F39" s="36"/>
      <c r="G39" s="36"/>
    </row>
    <row r="40" spans="1:7" s="1" customFormat="1" ht="15.6" x14ac:dyDescent="0.3">
      <c r="A40" s="63" t="s">
        <v>119</v>
      </c>
      <c r="B40" s="64"/>
      <c r="C40" s="64"/>
      <c r="D40" s="64"/>
      <c r="E40" s="64"/>
      <c r="F40" s="64"/>
      <c r="G40" s="64"/>
    </row>
    <row r="41" spans="1:7" s="1" customFormat="1" ht="15.6" x14ac:dyDescent="0.3">
      <c r="A41" s="63" t="s">
        <v>462</v>
      </c>
      <c r="B41" s="64"/>
      <c r="C41" s="64"/>
      <c r="D41" s="64"/>
      <c r="E41" s="64"/>
      <c r="F41" s="64"/>
      <c r="G41" s="64"/>
    </row>
    <row r="42" spans="1:7" s="1" customFormat="1" ht="15.6" x14ac:dyDescent="0.3">
      <c r="A42" s="65" t="s">
        <v>120</v>
      </c>
      <c r="B42" s="64"/>
      <c r="C42" s="64"/>
      <c r="D42" s="64"/>
      <c r="E42" s="64"/>
      <c r="F42" s="64"/>
      <c r="G42" s="64"/>
    </row>
    <row r="43" spans="1:7" s="1" customFormat="1" ht="15" x14ac:dyDescent="0.25">
      <c r="B43" s="64"/>
      <c r="C43" s="64"/>
      <c r="D43" s="64"/>
      <c r="E43" s="64"/>
      <c r="F43" s="64"/>
      <c r="G43" s="64"/>
    </row>
    <row r="44" spans="1:7" s="1" customFormat="1" ht="15.6" x14ac:dyDescent="0.3">
      <c r="A44" s="63" t="str">
        <f>(IF(('School DATA'!D26&gt;0),'School DATA'!D26,""))&amp;"    "&amp;(IF(('School DATA'!D30&gt;0),'School DATA'!D30,""))</f>
        <v xml:space="preserve">JR    </v>
      </c>
      <c r="B44" s="63"/>
      <c r="C44" s="64"/>
      <c r="D44" s="64"/>
      <c r="E44" s="64"/>
      <c r="F44" s="64"/>
      <c r="G44" s="64"/>
    </row>
    <row r="45" spans="1:7" s="1" customFormat="1" ht="15.6" x14ac:dyDescent="0.3">
      <c r="A45" s="63" t="str">
        <f>(IF(('School DATA'!D27&gt;0),'School DATA'!D27,""))&amp;"    "&amp;(IF(('School DATA'!D31&gt;0),'School DATA'!D31,""))</f>
        <v xml:space="preserve">LJ    </v>
      </c>
      <c r="B45" s="63"/>
      <c r="C45" s="64"/>
      <c r="D45" s="64"/>
      <c r="E45" s="64"/>
      <c r="F45" s="64"/>
      <c r="G45" s="64"/>
    </row>
    <row r="46" spans="1:7" s="1" customFormat="1" ht="15.6" x14ac:dyDescent="0.3">
      <c r="A46" s="63" t="str">
        <f>(IF(('School DATA'!D28&gt;0),'School DATA'!D28,""))&amp;"    "&amp;(IF(('School DATA'!D32&gt;0),'School DATA'!D32,""))</f>
        <v xml:space="preserve">AM    </v>
      </c>
      <c r="B46" s="63"/>
      <c r="C46" s="64"/>
      <c r="D46" s="64"/>
      <c r="E46" s="64"/>
      <c r="F46" s="64"/>
      <c r="G46" s="64"/>
    </row>
    <row r="47" spans="1:7" s="1" customFormat="1" ht="15.6" x14ac:dyDescent="0.3">
      <c r="A47" s="63" t="str">
        <f>(IF(('School DATA'!D29&gt;0),'School DATA'!D29,""))&amp;"    "&amp;(IF(('School DATA'!D33&gt;0),'School DATA'!D33,""))</f>
        <v xml:space="preserve">    </v>
      </c>
      <c r="B47" s="63"/>
      <c r="C47" s="64"/>
      <c r="D47" s="64"/>
      <c r="E47" s="64"/>
      <c r="F47" s="64"/>
      <c r="G47" s="64"/>
    </row>
    <row r="48" spans="1:7" s="1" customFormat="1" ht="15" x14ac:dyDescent="0.25">
      <c r="C48" s="64"/>
      <c r="D48" s="64"/>
      <c r="E48" s="64"/>
      <c r="F48" s="64"/>
      <c r="G48" s="64"/>
    </row>
    <row r="49" spans="1:7" s="1" customFormat="1" ht="15.6" x14ac:dyDescent="0.3">
      <c r="A49" s="63" t="s">
        <v>121</v>
      </c>
      <c r="B49" s="64"/>
      <c r="C49" s="64"/>
      <c r="D49" s="64"/>
      <c r="E49" s="64"/>
      <c r="F49" s="64"/>
      <c r="G49" s="64"/>
    </row>
    <row r="50" spans="1:7" s="1" customFormat="1" ht="15" x14ac:dyDescent="0.25">
      <c r="B50" s="64"/>
      <c r="C50" s="64"/>
      <c r="D50" s="64"/>
      <c r="E50" s="64"/>
      <c r="F50" s="64"/>
      <c r="G50" s="64"/>
    </row>
    <row r="51" spans="1:7" s="1" customFormat="1" ht="15" x14ac:dyDescent="0.25">
      <c r="B51" s="64"/>
      <c r="C51" s="64"/>
      <c r="D51" s="64"/>
      <c r="E51" s="64"/>
      <c r="F51" s="64"/>
      <c r="G51" s="64"/>
    </row>
    <row r="52" spans="1:7" ht="15.6" x14ac:dyDescent="0.3">
      <c r="A52" s="65" t="s">
        <v>135</v>
      </c>
      <c r="B52" s="66">
        <f ca="1">TODAY()</f>
        <v>45078</v>
      </c>
      <c r="C52" s="36"/>
      <c r="D52" s="36"/>
      <c r="E52" s="36"/>
      <c r="F52" s="36"/>
      <c r="G52" s="36"/>
    </row>
    <row r="53" spans="1:7" ht="15.6" x14ac:dyDescent="0.3">
      <c r="A53" s="63"/>
      <c r="B53" s="36"/>
      <c r="C53" s="36"/>
      <c r="D53" s="36"/>
      <c r="E53" s="36"/>
      <c r="F53" s="36"/>
      <c r="G53" s="36"/>
    </row>
    <row r="54" spans="1:7" ht="15.6" x14ac:dyDescent="0.3">
      <c r="A54" s="63"/>
      <c r="B54" s="36"/>
      <c r="C54" s="36"/>
      <c r="D54" s="36"/>
      <c r="E54" s="36"/>
      <c r="F54" s="36"/>
      <c r="G54" s="36"/>
    </row>
    <row r="55" spans="1:7" ht="15.6" x14ac:dyDescent="0.3">
      <c r="A55" s="63"/>
      <c r="B55" s="36"/>
      <c r="C55" s="36"/>
      <c r="D55" s="36"/>
      <c r="E55" s="36"/>
      <c r="F55" s="36"/>
      <c r="G55" s="36"/>
    </row>
    <row r="56" spans="1:7" ht="15.6" x14ac:dyDescent="0.3">
      <c r="A56" s="63"/>
      <c r="B56" s="36"/>
      <c r="C56" s="36"/>
      <c r="D56" s="36"/>
      <c r="E56" s="36"/>
      <c r="F56" s="36"/>
      <c r="G56" s="36"/>
    </row>
    <row r="57" spans="1:7" ht="15.6" x14ac:dyDescent="0.3">
      <c r="A57" s="63"/>
      <c r="B57" s="36"/>
      <c r="C57" s="36"/>
      <c r="D57" s="36"/>
      <c r="E57" s="36"/>
      <c r="F57" s="36"/>
      <c r="G57" s="36"/>
    </row>
    <row r="58" spans="1:7" x14ac:dyDescent="0.25">
      <c r="A58" s="36"/>
      <c r="B58" s="36"/>
      <c r="C58" s="36"/>
      <c r="D58" s="36"/>
      <c r="E58" s="36"/>
      <c r="F58" s="36"/>
      <c r="G58" s="36"/>
    </row>
  </sheetData>
  <sheetProtection selectLockedCells="1"/>
  <phoneticPr fontId="5" type="noConversion"/>
  <pageMargins left="0.94488188976377963" right="0.74803149606299213" top="2.5590551181102366" bottom="0.98425196850393704"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24"/>
  <sheetViews>
    <sheetView showGridLines="0" topLeftCell="A4" workbookViewId="0">
      <selection activeCell="L6" sqref="L6"/>
    </sheetView>
  </sheetViews>
  <sheetFormatPr defaultRowHeight="13.2" x14ac:dyDescent="0.25"/>
  <cols>
    <col min="1" max="1" width="0.88671875" customWidth="1"/>
    <col min="2" max="2" width="50.109375" customWidth="1"/>
    <col min="3" max="3" width="1.33203125" customWidth="1"/>
    <col min="4" max="4" width="4.33203125" customWidth="1"/>
    <col min="5" max="6" width="12.44140625" customWidth="1"/>
  </cols>
  <sheetData>
    <row r="1" spans="2:6" x14ac:dyDescent="0.25">
      <c r="B1" s="399" t="s">
        <v>441</v>
      </c>
      <c r="C1" s="399"/>
      <c r="D1" s="406"/>
      <c r="E1" s="406"/>
      <c r="F1" s="406"/>
    </row>
    <row r="2" spans="2:6" x14ac:dyDescent="0.25">
      <c r="B2" s="399" t="s">
        <v>442</v>
      </c>
      <c r="C2" s="399"/>
      <c r="D2" s="406"/>
      <c r="E2" s="406"/>
      <c r="F2" s="406"/>
    </row>
    <row r="3" spans="2:6" x14ac:dyDescent="0.25">
      <c r="B3" s="400"/>
      <c r="C3" s="400"/>
      <c r="D3" s="407"/>
      <c r="E3" s="407"/>
      <c r="F3" s="407"/>
    </row>
    <row r="4" spans="2:6" ht="39.6" x14ac:dyDescent="0.25">
      <c r="B4" s="400" t="s">
        <v>443</v>
      </c>
      <c r="C4" s="400"/>
      <c r="D4" s="407"/>
      <c r="E4" s="407"/>
      <c r="F4" s="407"/>
    </row>
    <row r="5" spans="2:6" x14ac:dyDescent="0.25">
      <c r="B5" s="400"/>
      <c r="C5" s="400"/>
      <c r="D5" s="407"/>
      <c r="E5" s="407"/>
      <c r="F5" s="407"/>
    </row>
    <row r="6" spans="2:6" ht="26.4" x14ac:dyDescent="0.25">
      <c r="B6" s="399" t="s">
        <v>444</v>
      </c>
      <c r="C6" s="399"/>
      <c r="D6" s="406"/>
      <c r="E6" s="406" t="s">
        <v>445</v>
      </c>
      <c r="F6" s="406" t="s">
        <v>446</v>
      </c>
    </row>
    <row r="7" spans="2:6" ht="13.8" thickBot="1" x14ac:dyDescent="0.3">
      <c r="B7" s="400"/>
      <c r="C7" s="400"/>
      <c r="D7" s="407"/>
      <c r="E7" s="407"/>
      <c r="F7" s="407"/>
    </row>
    <row r="8" spans="2:6" ht="39.6" x14ac:dyDescent="0.25">
      <c r="B8" s="401" t="s">
        <v>447</v>
      </c>
      <c r="C8" s="402"/>
      <c r="D8" s="408"/>
      <c r="E8" s="408">
        <v>3</v>
      </c>
      <c r="F8" s="409"/>
    </row>
    <row r="9" spans="2:6" ht="30.6" x14ac:dyDescent="0.25">
      <c r="B9" s="403"/>
      <c r="C9" s="400"/>
      <c r="D9" s="407"/>
      <c r="E9" s="410" t="s">
        <v>448</v>
      </c>
      <c r="F9" s="411" t="s">
        <v>449</v>
      </c>
    </row>
    <row r="10" spans="2:6" ht="26.4" x14ac:dyDescent="0.25">
      <c r="B10" s="403"/>
      <c r="C10" s="400"/>
      <c r="D10" s="407"/>
      <c r="E10" s="410" t="s">
        <v>450</v>
      </c>
      <c r="F10" s="411" t="s">
        <v>449</v>
      </c>
    </row>
    <row r="11" spans="2:6" ht="27" thickBot="1" x14ac:dyDescent="0.3">
      <c r="B11" s="404"/>
      <c r="C11" s="405"/>
      <c r="D11" s="412"/>
      <c r="E11" s="413" t="s">
        <v>451</v>
      </c>
      <c r="F11" s="414" t="s">
        <v>449</v>
      </c>
    </row>
    <row r="12" spans="2:6" ht="13.8" thickBot="1" x14ac:dyDescent="0.3">
      <c r="B12" s="400"/>
      <c r="C12" s="400"/>
      <c r="D12" s="407"/>
      <c r="E12" s="407"/>
      <c r="F12" s="407"/>
    </row>
    <row r="13" spans="2:6" ht="39.6" x14ac:dyDescent="0.25">
      <c r="B13" s="401" t="s">
        <v>452</v>
      </c>
      <c r="C13" s="402"/>
      <c r="D13" s="408"/>
      <c r="E13" s="408">
        <v>4</v>
      </c>
      <c r="F13" s="409"/>
    </row>
    <row r="14" spans="2:6" ht="26.4" x14ac:dyDescent="0.25">
      <c r="B14" s="403"/>
      <c r="C14" s="400"/>
      <c r="D14" s="407"/>
      <c r="E14" s="410" t="s">
        <v>453</v>
      </c>
      <c r="F14" s="411" t="s">
        <v>449</v>
      </c>
    </row>
    <row r="15" spans="2:6" x14ac:dyDescent="0.25">
      <c r="B15" s="403"/>
      <c r="C15" s="400"/>
      <c r="D15" s="407"/>
      <c r="E15" s="410" t="s">
        <v>454</v>
      </c>
      <c r="F15" s="411"/>
    </row>
    <row r="16" spans="2:6" ht="20.399999999999999" x14ac:dyDescent="0.25">
      <c r="B16" s="403"/>
      <c r="C16" s="400"/>
      <c r="D16" s="407"/>
      <c r="E16" s="410" t="s">
        <v>455</v>
      </c>
      <c r="F16" s="411"/>
    </row>
    <row r="17" spans="2:6" ht="13.8" thickBot="1" x14ac:dyDescent="0.3">
      <c r="B17" s="404"/>
      <c r="C17" s="405"/>
      <c r="D17" s="412"/>
      <c r="E17" s="413" t="s">
        <v>456</v>
      </c>
      <c r="F17" s="414"/>
    </row>
    <row r="18" spans="2:6" x14ac:dyDescent="0.25">
      <c r="B18" s="400"/>
      <c r="C18" s="400"/>
      <c r="D18" s="407"/>
      <c r="E18" s="407"/>
      <c r="F18" s="407"/>
    </row>
    <row r="19" spans="2:6" x14ac:dyDescent="0.25">
      <c r="B19" s="400"/>
      <c r="C19" s="400"/>
      <c r="D19" s="407"/>
      <c r="E19" s="407"/>
      <c r="F19" s="407"/>
    </row>
    <row r="20" spans="2:6" x14ac:dyDescent="0.25">
      <c r="B20" s="399" t="s">
        <v>457</v>
      </c>
      <c r="C20" s="399"/>
      <c r="D20" s="406"/>
      <c r="E20" s="406"/>
      <c r="F20" s="406"/>
    </row>
    <row r="21" spans="2:6" ht="13.8" thickBot="1" x14ac:dyDescent="0.3">
      <c r="B21" s="400"/>
      <c r="C21" s="400"/>
      <c r="D21" s="407"/>
      <c r="E21" s="407"/>
      <c r="F21" s="407"/>
    </row>
    <row r="22" spans="2:6" ht="52.8" x14ac:dyDescent="0.25">
      <c r="B22" s="401" t="s">
        <v>458</v>
      </c>
      <c r="C22" s="402"/>
      <c r="D22" s="408"/>
      <c r="E22" s="408">
        <v>1</v>
      </c>
      <c r="F22" s="409"/>
    </row>
    <row r="23" spans="2:6" ht="31.2" thickBot="1" x14ac:dyDescent="0.3">
      <c r="B23" s="404"/>
      <c r="C23" s="405"/>
      <c r="D23" s="412"/>
      <c r="E23" s="413" t="s">
        <v>448</v>
      </c>
      <c r="F23" s="414" t="s">
        <v>449</v>
      </c>
    </row>
    <row r="24" spans="2:6" x14ac:dyDescent="0.25">
      <c r="B24" s="400"/>
      <c r="C24" s="400"/>
      <c r="D24" s="407"/>
      <c r="E24" s="407"/>
      <c r="F24" s="407"/>
    </row>
  </sheetData>
  <hyperlinks>
    <hyperlink ref="E9" location="'Cost of Attendance'!A1:AF107" display="'Cost of Attendance'!A1:AF107" xr:uid="{00000000-0004-0000-0700-000000000000}"/>
    <hyperlink ref="E10" location="'Visa Letter'!A1:G66" display="'Visa Letter'!A1:G66" xr:uid="{00000000-0004-0000-0700-000001000000}"/>
    <hyperlink ref="E11" location="'Private Loan Letter'!A1:G58" display="'Private Loan Letter'!A1:G58" xr:uid="{00000000-0004-0000-0700-000002000000}"/>
    <hyperlink ref="E14" location="'Checklist'!B16:B18" display="'Checklist'!B16:B18" xr:uid="{00000000-0004-0000-0700-000003000000}"/>
    <hyperlink ref="E15" location="'Checklist'!B7:B12" display="'Checklist'!B7:B12" xr:uid="{00000000-0004-0000-0700-000004000000}"/>
    <hyperlink ref="E16" location="'Checklist'!B21:B24" display="'Checklist'!B21:B24" xr:uid="{00000000-0004-0000-0700-000005000000}"/>
    <hyperlink ref="E17" location="'Checklist'!B27" display="'Checklist'!B27" xr:uid="{00000000-0004-0000-0700-000006000000}"/>
    <hyperlink ref="E23" location="'Cost of Attendance'!A1:AF107" display="'Cost of Attendance'!A1:AF107" xr:uid="{00000000-0004-0000-07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Cost of Attendance</vt:lpstr>
      <vt:lpstr>School DATA</vt:lpstr>
      <vt:lpstr>Visa Letter</vt:lpstr>
      <vt:lpstr>Checklist</vt:lpstr>
      <vt:lpstr>Basis of Costs</vt:lpstr>
      <vt:lpstr>Private Loan Letter</vt:lpstr>
      <vt:lpstr>Compatibility Report</vt:lpstr>
      <vt:lpstr>'Cost of Attendance'!Print_Area</vt:lpstr>
      <vt:lpstr>'Visa Letter'!Print_Area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Ryan</dc:creator>
  <dc:description/>
  <cp:lastModifiedBy>Joanne Ryan</cp:lastModifiedBy>
  <cp:lastPrinted>2020-05-12T12:30:04Z</cp:lastPrinted>
  <dcterms:created xsi:type="dcterms:W3CDTF">2009-04-02T10:59:38Z</dcterms:created>
  <dcterms:modified xsi:type="dcterms:W3CDTF">2023-06-01T13:55:36Z</dcterms:modified>
</cp:coreProperties>
</file>